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harts/chart4.xml" ContentType="application/vnd.openxmlformats-officedocument.drawingml.char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5" yWindow="-195" windowWidth="14085" windowHeight="12480" activeTab="1"/>
  </bookViews>
  <sheets>
    <sheet name="Preferred" sheetId="2" r:id="rId1"/>
    <sheet name="All Sectors" sheetId="3" r:id="rId2"/>
    <sheet name="Residential Per Pers" sheetId="5" r:id="rId3"/>
    <sheet name="LV" sheetId="6" r:id="rId4"/>
    <sheet name="HV" sheetId="7" r:id="rId5"/>
    <sheet name="OP" sheetId="1" r:id="rId6"/>
    <sheet name="Updated forecasts" sheetId="8" r:id="rId7"/>
    <sheet name="Data" sheetId="9" r:id="rId8"/>
    <sheet name="Data BIS V SKM" sheetId="10" r:id="rId9"/>
  </sheets>
  <externalReferences>
    <externalReference r:id="rId10"/>
    <externalReference r:id="rId11"/>
  </externalReferences>
  <calcPr calcId="144525"/>
</workbook>
</file>

<file path=xl/calcChain.xml><?xml version="1.0" encoding="utf-8"?>
<calcChain xmlns="http://schemas.openxmlformats.org/spreadsheetml/2006/main">
  <c r="Y23" i="10" l="1"/>
  <c r="Y22" i="10"/>
  <c r="Y21" i="10"/>
  <c r="Y20" i="10"/>
  <c r="Y19" i="10"/>
  <c r="Y18" i="10"/>
  <c r="Y17" i="10"/>
  <c r="Y16" i="10"/>
  <c r="Y15" i="10"/>
  <c r="Y14" i="10"/>
  <c r="Y13" i="10"/>
  <c r="Y12" i="10"/>
  <c r="Y11" i="10"/>
  <c r="Y10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Z10" i="10" l="1"/>
  <c r="Z11" i="10"/>
  <c r="Z12" i="10"/>
  <c r="Z13" i="10"/>
  <c r="Z14" i="10"/>
  <c r="Z15" i="10"/>
  <c r="Z16" i="10"/>
  <c r="Z17" i="10"/>
  <c r="Z18" i="10"/>
  <c r="Z19" i="10"/>
  <c r="Z20" i="10"/>
  <c r="Z21" i="10"/>
  <c r="Z22" i="10"/>
  <c r="Z23" i="10"/>
  <c r="AF21" i="10" l="1"/>
  <c r="AF17" i="10"/>
  <c r="AF13" i="10"/>
  <c r="AF10" i="10"/>
  <c r="AF20" i="10"/>
  <c r="AF16" i="10"/>
  <c r="AF12" i="10"/>
  <c r="AF23" i="10"/>
  <c r="AF19" i="10"/>
  <c r="AF15" i="10"/>
  <c r="AF11" i="10"/>
  <c r="AF22" i="10"/>
  <c r="AF18" i="10"/>
  <c r="AF14" i="10"/>
  <c r="G4" i="10" l="1"/>
  <c r="N4" i="10"/>
  <c r="S4" i="10"/>
  <c r="G5" i="10"/>
  <c r="N5" i="10"/>
  <c r="S5" i="10"/>
  <c r="G6" i="10"/>
  <c r="N6" i="10"/>
  <c r="S6" i="10"/>
  <c r="G7" i="10"/>
  <c r="N7" i="10"/>
  <c r="S7" i="10"/>
  <c r="G8" i="10"/>
  <c r="N8" i="10"/>
  <c r="S8" i="10"/>
  <c r="G9" i="10"/>
  <c r="N9" i="10"/>
  <c r="S9" i="10"/>
  <c r="G10" i="10"/>
  <c r="N10" i="10"/>
  <c r="P10" i="10"/>
  <c r="S10" i="10"/>
  <c r="AE10" i="10" s="1"/>
  <c r="G11" i="10"/>
  <c r="N11" i="10"/>
  <c r="P11" i="10"/>
  <c r="S11" i="10"/>
  <c r="U11" i="10"/>
  <c r="AE11" i="10"/>
  <c r="G12" i="10"/>
  <c r="N12" i="10"/>
  <c r="AE12" i="10" s="1"/>
  <c r="P12" i="10"/>
  <c r="S12" i="10"/>
  <c r="G13" i="10"/>
  <c r="N13" i="10"/>
  <c r="P13" i="10"/>
  <c r="S13" i="10"/>
  <c r="U13" i="10"/>
  <c r="AE13" i="10"/>
  <c r="G14" i="10"/>
  <c r="N14" i="10"/>
  <c r="AE14" i="10" s="1"/>
  <c r="P14" i="10"/>
  <c r="S14" i="10"/>
  <c r="G15" i="10"/>
  <c r="N15" i="10"/>
  <c r="P15" i="10"/>
  <c r="S15" i="10"/>
  <c r="U15" i="10"/>
  <c r="AE15" i="10"/>
  <c r="G16" i="10"/>
  <c r="N16" i="10"/>
  <c r="AE16" i="10" s="1"/>
  <c r="P16" i="10"/>
  <c r="S16" i="10"/>
  <c r="G17" i="10"/>
  <c r="N17" i="10"/>
  <c r="P17" i="10"/>
  <c r="S17" i="10"/>
  <c r="AE17" i="10"/>
  <c r="G18" i="10"/>
  <c r="N18" i="10"/>
  <c r="AE18" i="10" s="1"/>
  <c r="P18" i="10"/>
  <c r="S18" i="10"/>
  <c r="G19" i="10"/>
  <c r="N19" i="10"/>
  <c r="P19" i="10"/>
  <c r="S19" i="10"/>
  <c r="U19" i="10"/>
  <c r="AE19" i="10"/>
  <c r="G20" i="10"/>
  <c r="N20" i="10"/>
  <c r="AE20" i="10" s="1"/>
  <c r="P20" i="10"/>
  <c r="S20" i="10"/>
  <c r="G21" i="10"/>
  <c r="N21" i="10"/>
  <c r="P21" i="10"/>
  <c r="S21" i="10"/>
  <c r="U21" i="10"/>
  <c r="AE21" i="10"/>
  <c r="G22" i="10"/>
  <c r="N22" i="10"/>
  <c r="AE22" i="10" s="1"/>
  <c r="P22" i="10"/>
  <c r="S22" i="10"/>
  <c r="W22" i="10"/>
  <c r="G23" i="10"/>
  <c r="N23" i="10"/>
  <c r="P23" i="10"/>
  <c r="S23" i="10"/>
  <c r="U23" i="10"/>
  <c r="AE23" i="10"/>
  <c r="N24" i="10"/>
  <c r="Y24" i="10"/>
  <c r="Y25" i="10"/>
  <c r="Y26" i="10"/>
  <c r="Y27" i="10"/>
  <c r="Y28" i="10"/>
  <c r="Y29" i="10"/>
  <c r="F24" i="9"/>
  <c r="G24" i="10" s="1"/>
  <c r="H24" i="10" s="1"/>
  <c r="G24" i="9"/>
  <c r="J24" i="9"/>
  <c r="K24" i="9" s="1"/>
  <c r="L24" i="9"/>
  <c r="S24" i="10" s="1"/>
  <c r="M24" i="9"/>
  <c r="N24" i="9"/>
  <c r="J25" i="9"/>
  <c r="K25" i="9" s="1"/>
  <c r="N25" i="9"/>
  <c r="N26" i="9"/>
  <c r="N27" i="9"/>
  <c r="N28" i="9"/>
  <c r="N29" i="9"/>
  <c r="W16" i="10" l="1"/>
  <c r="W15" i="10"/>
  <c r="W12" i="10"/>
  <c r="R23" i="10"/>
  <c r="U18" i="10"/>
  <c r="U14" i="10"/>
  <c r="W17" i="10"/>
  <c r="W23" i="10"/>
  <c r="R21" i="10"/>
  <c r="U17" i="10"/>
  <c r="R17" i="10"/>
  <c r="R15" i="10"/>
  <c r="W14" i="10"/>
  <c r="W18" i="10"/>
  <c r="U22" i="10"/>
  <c r="W20" i="10"/>
  <c r="T24" i="10"/>
  <c r="U20" i="10"/>
  <c r="U12" i="10"/>
  <c r="W19" i="10"/>
  <c r="R19" i="10"/>
  <c r="W11" i="10"/>
  <c r="R11" i="10"/>
  <c r="W21" i="10"/>
  <c r="U16" i="10"/>
  <c r="W13" i="10"/>
  <c r="R13" i="10"/>
  <c r="AE24" i="10"/>
  <c r="O24" i="10"/>
  <c r="J26" i="9"/>
  <c r="L25" i="9"/>
  <c r="F25" i="9"/>
  <c r="N25" i="10"/>
  <c r="R22" i="10"/>
  <c r="R20" i="10"/>
  <c r="R18" i="10"/>
  <c r="R16" i="10"/>
  <c r="R14" i="10"/>
  <c r="R12" i="10"/>
  <c r="U10" i="10"/>
  <c r="H20" i="5"/>
  <c r="Q20" i="5" s="1"/>
  <c r="H21" i="5"/>
  <c r="Q21" i="5" s="1"/>
  <c r="H22" i="5"/>
  <c r="Q22" i="5" s="1"/>
  <c r="H23" i="5"/>
  <c r="Q23" i="5" s="1"/>
  <c r="H24" i="5"/>
  <c r="Q24" i="5" s="1"/>
  <c r="H25" i="5"/>
  <c r="Q25" i="5" s="1"/>
  <c r="G22" i="3"/>
  <c r="G18" i="3"/>
  <c r="G14" i="3"/>
  <c r="E8" i="1"/>
  <c r="G7" i="3" s="1"/>
  <c r="G25" i="6"/>
  <c r="O25" i="6" s="1"/>
  <c r="G24" i="6"/>
  <c r="O24" i="6" s="1"/>
  <c r="G23" i="6"/>
  <c r="G22" i="6"/>
  <c r="O22" i="6" s="1"/>
  <c r="G21" i="6"/>
  <c r="O21" i="6" s="1"/>
  <c r="G20" i="6"/>
  <c r="J14" i="2"/>
  <c r="J10" i="2"/>
  <c r="J7" i="2"/>
  <c r="J6" i="2"/>
  <c r="C83" i="2"/>
  <c r="C61" i="2"/>
  <c r="C84" i="2" s="1"/>
  <c r="E11" i="1"/>
  <c r="G10" i="3" s="1"/>
  <c r="G15" i="3"/>
  <c r="G16" i="3"/>
  <c r="G17" i="3"/>
  <c r="G19" i="3"/>
  <c r="G20" i="3"/>
  <c r="G21" i="3"/>
  <c r="G23" i="3"/>
  <c r="G24" i="3"/>
  <c r="G25" i="3"/>
  <c r="E9" i="1"/>
  <c r="G8" i="3" s="1"/>
  <c r="E10" i="1"/>
  <c r="G9" i="3" s="1"/>
  <c r="E12" i="1"/>
  <c r="G11" i="3" s="1"/>
  <c r="E13" i="1"/>
  <c r="G12" i="3" s="1"/>
  <c r="E14" i="1"/>
  <c r="G13" i="3" s="1"/>
  <c r="E7" i="1"/>
  <c r="G6" i="3" s="1"/>
  <c r="D15" i="1"/>
  <c r="D9" i="1"/>
  <c r="D10" i="1"/>
  <c r="D11" i="1"/>
  <c r="D12" i="1"/>
  <c r="D13" i="1"/>
  <c r="D14" i="1"/>
  <c r="D8" i="1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8" i="3"/>
  <c r="E7" i="3"/>
  <c r="D16" i="1"/>
  <c r="D17" i="1"/>
  <c r="D18" i="1"/>
  <c r="D19" i="1"/>
  <c r="D20" i="1"/>
  <c r="D21" i="1"/>
  <c r="D22" i="1"/>
  <c r="D23" i="1"/>
  <c r="D24" i="1"/>
  <c r="D25" i="1"/>
  <c r="D26" i="1"/>
  <c r="D27" i="1"/>
  <c r="J19" i="2"/>
  <c r="J18" i="2"/>
  <c r="J17" i="2"/>
  <c r="J16" i="2"/>
  <c r="J15" i="2"/>
  <c r="J13" i="2"/>
  <c r="J12" i="2"/>
  <c r="J11" i="2"/>
  <c r="J9" i="2"/>
  <c r="J8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C7" i="2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AO5" i="5"/>
  <c r="AK5" i="7"/>
  <c r="R46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B7" i="7"/>
  <c r="B8" i="7"/>
  <c r="AD8" i="7"/>
  <c r="AD6" i="7"/>
  <c r="J6" i="7"/>
  <c r="B9" i="7"/>
  <c r="AD9" i="7"/>
  <c r="AP5" i="7"/>
  <c r="AD7" i="7"/>
  <c r="B10" i="7"/>
  <c r="AD10" i="7"/>
  <c r="B11" i="7"/>
  <c r="AD11" i="7"/>
  <c r="B12" i="7"/>
  <c r="AD12" i="7"/>
  <c r="B13" i="7"/>
  <c r="AD13" i="7"/>
  <c r="B14" i="7"/>
  <c r="B15" i="7"/>
  <c r="AD14" i="7"/>
  <c r="B16" i="7"/>
  <c r="AD15" i="7"/>
  <c r="B17" i="7"/>
  <c r="AD16" i="7"/>
  <c r="AD17" i="7"/>
  <c r="B18" i="7"/>
  <c r="B19" i="7"/>
  <c r="AD18" i="7"/>
  <c r="AD19" i="7"/>
  <c r="B20" i="7"/>
  <c r="B21" i="7"/>
  <c r="AD20" i="7"/>
  <c r="B22" i="7"/>
  <c r="AD21" i="7"/>
  <c r="B23" i="7"/>
  <c r="AD22" i="7"/>
  <c r="B24" i="7"/>
  <c r="AD23" i="7"/>
  <c r="AE6" i="6"/>
  <c r="B25" i="7"/>
  <c r="AD25" i="7"/>
  <c r="AD24" i="7"/>
  <c r="O23" i="6"/>
  <c r="O20" i="6"/>
  <c r="R47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B7" i="6"/>
  <c r="J6" i="6"/>
  <c r="B8" i="6"/>
  <c r="AE8" i="6"/>
  <c r="AE7" i="6"/>
  <c r="AM5" i="6"/>
  <c r="AS5" i="6" s="1"/>
  <c r="B9" i="6"/>
  <c r="AE9" i="6"/>
  <c r="B10" i="6"/>
  <c r="AE10" i="6"/>
  <c r="B11" i="6"/>
  <c r="AE11" i="6"/>
  <c r="B12" i="6"/>
  <c r="AE12" i="6"/>
  <c r="B13" i="6"/>
  <c r="AE13" i="6"/>
  <c r="B14" i="6"/>
  <c r="AE14" i="6"/>
  <c r="B15" i="6"/>
  <c r="AE15" i="6"/>
  <c r="B16" i="6"/>
  <c r="AE16" i="6"/>
  <c r="B17" i="6"/>
  <c r="AE17" i="6"/>
  <c r="B18" i="6"/>
  <c r="AE18" i="6"/>
  <c r="B19" i="6"/>
  <c r="AE19" i="6"/>
  <c r="B20" i="6"/>
  <c r="B21" i="6"/>
  <c r="AE20" i="6"/>
  <c r="B22" i="6"/>
  <c r="AE21" i="6"/>
  <c r="B23" i="6"/>
  <c r="AE22" i="6"/>
  <c r="B24" i="6"/>
  <c r="AE23" i="6"/>
  <c r="B25" i="6"/>
  <c r="AE25" i="6"/>
  <c r="AE24" i="6"/>
  <c r="T45" i="5"/>
  <c r="B7" i="5"/>
  <c r="AG6" i="5"/>
  <c r="AP5" i="5"/>
  <c r="AV5" i="5" s="1"/>
  <c r="N26" i="10" l="1"/>
  <c r="J27" i="9"/>
  <c r="K26" i="9"/>
  <c r="O25" i="10"/>
  <c r="P24" i="10"/>
  <c r="AF24" i="10" s="1"/>
  <c r="R24" i="10"/>
  <c r="F26" i="9"/>
  <c r="G25" i="9"/>
  <c r="G25" i="10"/>
  <c r="H25" i="10" s="1"/>
  <c r="L26" i="9"/>
  <c r="M25" i="9"/>
  <c r="S25" i="10"/>
  <c r="T25" i="10" s="1"/>
  <c r="C62" i="2"/>
  <c r="AG7" i="5"/>
  <c r="B8" i="5"/>
  <c r="J28" i="9" l="1"/>
  <c r="K27" i="9"/>
  <c r="N27" i="10"/>
  <c r="R25" i="10"/>
  <c r="P25" i="10"/>
  <c r="O26" i="10"/>
  <c r="AE26" i="10"/>
  <c r="S26" i="10"/>
  <c r="T26" i="10" s="1"/>
  <c r="M26" i="9"/>
  <c r="L27" i="9"/>
  <c r="G26" i="10"/>
  <c r="H26" i="10" s="1"/>
  <c r="F27" i="9"/>
  <c r="G26" i="9"/>
  <c r="AE25" i="10"/>
  <c r="C85" i="2"/>
  <c r="C63" i="2"/>
  <c r="AG8" i="5"/>
  <c r="B9" i="5"/>
  <c r="AF25" i="10" l="1"/>
  <c r="O27" i="10"/>
  <c r="AE27" i="10"/>
  <c r="M27" i="9"/>
  <c r="S27" i="10"/>
  <c r="T27" i="10" s="1"/>
  <c r="L28" i="9"/>
  <c r="K28" i="9"/>
  <c r="N28" i="10"/>
  <c r="J29" i="9"/>
  <c r="G27" i="9"/>
  <c r="F28" i="9"/>
  <c r="G27" i="10"/>
  <c r="H27" i="10" s="1"/>
  <c r="P26" i="10"/>
  <c r="AF26" i="10" s="1"/>
  <c r="R26" i="10"/>
  <c r="C86" i="2"/>
  <c r="C64" i="2"/>
  <c r="B10" i="5"/>
  <c r="AG9" i="5"/>
  <c r="G28" i="10" l="1"/>
  <c r="H28" i="10" s="1"/>
  <c r="G28" i="9"/>
  <c r="F29" i="9"/>
  <c r="S28" i="10"/>
  <c r="T28" i="10" s="1"/>
  <c r="L29" i="9"/>
  <c r="M28" i="9"/>
  <c r="P27" i="10"/>
  <c r="AF27" i="10" s="1"/>
  <c r="R27" i="10"/>
  <c r="K29" i="9"/>
  <c r="N29" i="10"/>
  <c r="O28" i="10"/>
  <c r="C65" i="2"/>
  <c r="C87" i="2"/>
  <c r="AG10" i="5"/>
  <c r="B11" i="5"/>
  <c r="O29" i="10" l="1"/>
  <c r="G29" i="9"/>
  <c r="G29" i="10"/>
  <c r="H29" i="10" s="1"/>
  <c r="S29" i="10"/>
  <c r="T29" i="10" s="1"/>
  <c r="M29" i="9"/>
  <c r="P28" i="10"/>
  <c r="R28" i="10"/>
  <c r="AE28" i="10"/>
  <c r="C88" i="2"/>
  <c r="C66" i="2"/>
  <c r="B12" i="5"/>
  <c r="AG11" i="5"/>
  <c r="R29" i="10" l="1"/>
  <c r="P29" i="10"/>
  <c r="AF28" i="10"/>
  <c r="AE29" i="10"/>
  <c r="C89" i="2"/>
  <c r="C67" i="2"/>
  <c r="B13" i="5"/>
  <c r="AG12" i="5"/>
  <c r="AF29" i="10" l="1"/>
  <c r="C90" i="2"/>
  <c r="C68" i="2"/>
  <c r="AG13" i="5"/>
  <c r="B14" i="5"/>
  <c r="C69" i="2" l="1"/>
  <c r="C91" i="2"/>
  <c r="B15" i="5"/>
  <c r="AG14" i="5"/>
  <c r="C92" i="2" l="1"/>
  <c r="C70" i="2"/>
  <c r="AG15" i="5"/>
  <c r="B16" i="5"/>
  <c r="C93" i="2" l="1"/>
  <c r="C71" i="2"/>
  <c r="B17" i="5"/>
  <c r="AG16" i="5"/>
  <c r="C94" i="2" l="1"/>
  <c r="C72" i="2"/>
  <c r="AG17" i="5"/>
  <c r="B18" i="5"/>
  <c r="C73" i="2" l="1"/>
  <c r="C95" i="2"/>
  <c r="B19" i="5"/>
  <c r="AG18" i="5"/>
  <c r="C96" i="2" l="1"/>
  <c r="C74" i="2"/>
  <c r="B20" i="5"/>
  <c r="AG19" i="5"/>
  <c r="C97" i="2" l="1"/>
  <c r="C75" i="2"/>
  <c r="B21" i="5"/>
  <c r="AG20" i="5"/>
  <c r="C98" i="2" l="1"/>
  <c r="C76" i="2"/>
  <c r="B22" i="5"/>
  <c r="AG21" i="5"/>
  <c r="C77" i="2" l="1"/>
  <c r="C99" i="2"/>
  <c r="AG22" i="5"/>
  <c r="B23" i="5"/>
  <c r="C100" i="2" l="1"/>
  <c r="C78" i="2"/>
  <c r="B24" i="5"/>
  <c r="AG23" i="5"/>
  <c r="C101" i="2" l="1"/>
  <c r="C79" i="2"/>
  <c r="C102" i="2" s="1"/>
  <c r="B25" i="5"/>
  <c r="AG25" i="5" s="1"/>
  <c r="AG24" i="5"/>
  <c r="K19" i="7" l="1"/>
  <c r="K12" i="7"/>
  <c r="K11" i="7"/>
  <c r="K6" i="6"/>
  <c r="K16" i="6"/>
  <c r="K9" i="6"/>
  <c r="K18" i="6"/>
  <c r="N6" i="6"/>
  <c r="N6" i="7"/>
  <c r="O6" i="6"/>
  <c r="N16" i="6"/>
  <c r="N16" i="7"/>
  <c r="O16" i="6"/>
  <c r="N17" i="6"/>
  <c r="N17" i="7"/>
  <c r="O17" i="6"/>
  <c r="N18" i="6"/>
  <c r="N18" i="7"/>
  <c r="O15" i="6"/>
  <c r="K8" i="7"/>
  <c r="K18" i="7"/>
  <c r="K13" i="7"/>
  <c r="K17" i="7"/>
  <c r="P10" i="5"/>
  <c r="P18" i="5"/>
  <c r="P11" i="5"/>
  <c r="P19" i="5"/>
  <c r="P12" i="5"/>
  <c r="P6" i="5"/>
  <c r="P13" i="5"/>
  <c r="K17" i="6"/>
  <c r="K8" i="6"/>
  <c r="K13" i="6"/>
  <c r="K10" i="6"/>
  <c r="N12" i="6"/>
  <c r="N12" i="7"/>
  <c r="O12" i="6"/>
  <c r="N13" i="6"/>
  <c r="N13" i="7"/>
  <c r="O13" i="6"/>
  <c r="N14" i="6"/>
  <c r="N14" i="7"/>
  <c r="O14" i="6"/>
  <c r="N15" i="6"/>
  <c r="N15" i="7"/>
  <c r="O11" i="6"/>
  <c r="K6" i="7"/>
  <c r="K9" i="7"/>
  <c r="K14" i="7"/>
  <c r="K7" i="7"/>
  <c r="K10" i="7"/>
  <c r="K16" i="7"/>
  <c r="K15" i="7"/>
  <c r="K19" i="6"/>
  <c r="K15" i="6"/>
  <c r="K14" i="6"/>
  <c r="N8" i="6"/>
  <c r="N8" i="7"/>
  <c r="O8" i="6"/>
  <c r="N9" i="6"/>
  <c r="N9" i="7"/>
  <c r="O9" i="6"/>
  <c r="N10" i="6"/>
  <c r="N10" i="7"/>
  <c r="O10" i="6"/>
  <c r="N11" i="6"/>
  <c r="N11" i="7"/>
  <c r="O7" i="6"/>
  <c r="P14" i="5"/>
  <c r="P7" i="5"/>
  <c r="P15" i="5"/>
  <c r="P8" i="5"/>
  <c r="P16" i="5"/>
  <c r="P9" i="5"/>
  <c r="P17" i="5"/>
  <c r="K11" i="6"/>
  <c r="K7" i="6"/>
  <c r="K12" i="6"/>
  <c r="N7" i="6"/>
  <c r="N7" i="7"/>
  <c r="O18" i="6"/>
  <c r="O19" i="6" l="1"/>
  <c r="N19" i="7"/>
  <c r="N19" i="6"/>
  <c r="K15" i="3" l="1"/>
  <c r="K19" i="3"/>
  <c r="K18" i="3"/>
  <c r="K13" i="3"/>
  <c r="K8" i="3"/>
  <c r="K7" i="3"/>
  <c r="K14" i="3"/>
  <c r="K16" i="3"/>
  <c r="K6" i="3"/>
  <c r="K10" i="3"/>
  <c r="K11" i="3"/>
  <c r="K12" i="3"/>
  <c r="K9" i="3"/>
  <c r="K17" i="3"/>
  <c r="Q6" i="5" l="1"/>
  <c r="Q15" i="5"/>
  <c r="Q12" i="5"/>
  <c r="Q13" i="5"/>
  <c r="Q14" i="5"/>
  <c r="Q11" i="5"/>
  <c r="Q8" i="5"/>
  <c r="Q9" i="5"/>
  <c r="Q10" i="5"/>
  <c r="Q7" i="5"/>
  <c r="Q17" i="5"/>
  <c r="Q18" i="5"/>
  <c r="Q16" i="5"/>
  <c r="Q19" i="5" l="1"/>
  <c r="K6" i="5"/>
  <c r="Y12" i="6" l="1"/>
  <c r="AM12" i="6" s="1"/>
  <c r="Y14" i="6"/>
  <c r="AM14" i="6" s="1"/>
  <c r="Y6" i="6"/>
  <c r="AM6" i="6" s="1"/>
  <c r="Y7" i="6"/>
  <c r="AM7" i="6" s="1"/>
  <c r="Y9" i="6"/>
  <c r="AM9" i="6" s="1"/>
  <c r="Y17" i="6"/>
  <c r="AM17" i="6" s="1"/>
  <c r="Y11" i="6"/>
  <c r="AM11" i="6" s="1"/>
  <c r="X16" i="7" l="1"/>
  <c r="AK16" i="7" s="1"/>
  <c r="AP16" i="7" s="1"/>
  <c r="H16" i="2" s="1"/>
  <c r="I16" i="3" s="1"/>
  <c r="Y18" i="6"/>
  <c r="AM18" i="6" s="1"/>
  <c r="Y8" i="6"/>
  <c r="AM8" i="6" s="1"/>
  <c r="D88" i="2"/>
  <c r="AS11" i="6"/>
  <c r="F11" i="2" s="1"/>
  <c r="X11" i="7"/>
  <c r="AK11" i="7" s="1"/>
  <c r="AP11" i="7" s="1"/>
  <c r="H11" i="2" s="1"/>
  <c r="I11" i="3" s="1"/>
  <c r="X8" i="7"/>
  <c r="AK8" i="7" s="1"/>
  <c r="AP8" i="7" s="1"/>
  <c r="H8" i="2" s="1"/>
  <c r="I8" i="3" s="1"/>
  <c r="X15" i="7"/>
  <c r="AK15" i="7" s="1"/>
  <c r="AP15" i="7" s="1"/>
  <c r="H15" i="2" s="1"/>
  <c r="I15" i="3" s="1"/>
  <c r="X13" i="7"/>
  <c r="AK13" i="7" s="1"/>
  <c r="AP13" i="7" s="1"/>
  <c r="H13" i="2" s="1"/>
  <c r="I13" i="3" s="1"/>
  <c r="D86" i="2"/>
  <c r="AS9" i="6"/>
  <c r="F9" i="2" s="1"/>
  <c r="AS6" i="6"/>
  <c r="F6" i="2" s="1"/>
  <c r="D83" i="2"/>
  <c r="X18" i="7"/>
  <c r="AK18" i="7" s="1"/>
  <c r="AP18" i="7" s="1"/>
  <c r="H18" i="2" s="1"/>
  <c r="I18" i="3" s="1"/>
  <c r="X12" i="7"/>
  <c r="AK12" i="7" s="1"/>
  <c r="AP12" i="7" s="1"/>
  <c r="H12" i="2" s="1"/>
  <c r="I12" i="3" s="1"/>
  <c r="Y15" i="6"/>
  <c r="AM15" i="6" s="1"/>
  <c r="Y13" i="6"/>
  <c r="AM13" i="6" s="1"/>
  <c r="AS17" i="6"/>
  <c r="F17" i="2" s="1"/>
  <c r="D94" i="2"/>
  <c r="X7" i="7"/>
  <c r="AK7" i="7" s="1"/>
  <c r="AP7" i="7" s="1"/>
  <c r="H7" i="2" s="1"/>
  <c r="I7" i="3" s="1"/>
  <c r="X6" i="7"/>
  <c r="AK6" i="7" s="1"/>
  <c r="AP6" i="7" s="1"/>
  <c r="H6" i="2" s="1"/>
  <c r="I6" i="3" s="1"/>
  <c r="X9" i="7"/>
  <c r="AK9" i="7" s="1"/>
  <c r="AP9" i="7" s="1"/>
  <c r="H9" i="2" s="1"/>
  <c r="I9" i="3" s="1"/>
  <c r="X17" i="7"/>
  <c r="AK17" i="7" s="1"/>
  <c r="AP17" i="7" s="1"/>
  <c r="H17" i="2" s="1"/>
  <c r="I17" i="3" s="1"/>
  <c r="X10" i="7"/>
  <c r="AK10" i="7" s="1"/>
  <c r="AP10" i="7" s="1"/>
  <c r="H10" i="2" s="1"/>
  <c r="I10" i="3" s="1"/>
  <c r="Y10" i="6"/>
  <c r="AM10" i="6" s="1"/>
  <c r="Y16" i="6"/>
  <c r="AM16" i="6" s="1"/>
  <c r="D84" i="2"/>
  <c r="AS7" i="6"/>
  <c r="F7" i="2" s="1"/>
  <c r="AS14" i="6"/>
  <c r="F14" i="2" s="1"/>
  <c r="D91" i="2"/>
  <c r="D89" i="2"/>
  <c r="AS12" i="6"/>
  <c r="F12" i="2" s="1"/>
  <c r="K7" i="5"/>
  <c r="K18" i="5"/>
  <c r="K19" i="5"/>
  <c r="K11" i="5"/>
  <c r="K8" i="5"/>
  <c r="K10" i="5"/>
  <c r="K17" i="5"/>
  <c r="K15" i="5"/>
  <c r="K13" i="5"/>
  <c r="K16" i="5"/>
  <c r="K12" i="5"/>
  <c r="K9" i="5"/>
  <c r="K14" i="5"/>
  <c r="H89" i="2" l="1"/>
  <c r="H12" i="3"/>
  <c r="H7" i="3"/>
  <c r="H84" i="2"/>
  <c r="D93" i="2"/>
  <c r="AS16" i="6"/>
  <c r="F16" i="2" s="1"/>
  <c r="D87" i="2"/>
  <c r="AS10" i="6"/>
  <c r="F10" i="2" s="1"/>
  <c r="D92" i="2"/>
  <c r="AS15" i="6"/>
  <c r="F15" i="2" s="1"/>
  <c r="G86" i="2"/>
  <c r="B86" i="2"/>
  <c r="AA12" i="5"/>
  <c r="AP12" i="5" s="1"/>
  <c r="B88" i="2"/>
  <c r="G88" i="2"/>
  <c r="B84" i="2"/>
  <c r="G84" i="2"/>
  <c r="D90" i="2"/>
  <c r="AS13" i="6"/>
  <c r="F13" i="2" s="1"/>
  <c r="G91" i="2"/>
  <c r="B91" i="2"/>
  <c r="H94" i="2"/>
  <c r="H17" i="3"/>
  <c r="H6" i="3"/>
  <c r="H83" i="2"/>
  <c r="AA15" i="5"/>
  <c r="AP15" i="5" s="1"/>
  <c r="D85" i="2"/>
  <c r="AS8" i="6"/>
  <c r="F8" i="2" s="1"/>
  <c r="D95" i="2"/>
  <c r="AS18" i="6"/>
  <c r="F18" i="2" s="1"/>
  <c r="AA14" i="5"/>
  <c r="AP14" i="5" s="1"/>
  <c r="X14" i="7"/>
  <c r="AK14" i="7" s="1"/>
  <c r="AP14" i="7" s="1"/>
  <c r="H14" i="2" s="1"/>
  <c r="I14" i="3" s="1"/>
  <c r="G89" i="2"/>
  <c r="B89" i="2"/>
  <c r="G94" i="2"/>
  <c r="B94" i="2"/>
  <c r="G83" i="2"/>
  <c r="B83" i="2"/>
  <c r="AA13" i="5"/>
  <c r="AP13" i="5" s="1"/>
  <c r="AA16" i="5"/>
  <c r="AP16" i="5" s="1"/>
  <c r="H14" i="3"/>
  <c r="H91" i="2"/>
  <c r="Y19" i="6"/>
  <c r="AM19" i="6" s="1"/>
  <c r="H9" i="3"/>
  <c r="H86" i="2"/>
  <c r="H11" i="3"/>
  <c r="H88" i="2"/>
  <c r="L9" i="5"/>
  <c r="L15" i="5"/>
  <c r="L14" i="5"/>
  <c r="L12" i="5"/>
  <c r="L17" i="5"/>
  <c r="L8" i="5"/>
  <c r="L7" i="5"/>
  <c r="L10" i="5"/>
  <c r="L11" i="5"/>
  <c r="L19" i="5"/>
  <c r="L16" i="5"/>
  <c r="L13" i="5"/>
  <c r="L6" i="5"/>
  <c r="L18" i="5"/>
  <c r="I88" i="2" l="1"/>
  <c r="AV16" i="5"/>
  <c r="AA8" i="5"/>
  <c r="AP8" i="5" s="1"/>
  <c r="H8" i="3"/>
  <c r="H85" i="2"/>
  <c r="I83" i="2"/>
  <c r="H13" i="3"/>
  <c r="H90" i="2"/>
  <c r="X19" i="7"/>
  <c r="AK19" i="7" s="1"/>
  <c r="H87" i="2"/>
  <c r="H10" i="3"/>
  <c r="I84" i="2"/>
  <c r="D96" i="2"/>
  <c r="AS19" i="6"/>
  <c r="F19" i="2" s="1"/>
  <c r="AA6" i="5"/>
  <c r="AP6" i="5" s="1"/>
  <c r="AA18" i="5"/>
  <c r="AP18" i="5" s="1"/>
  <c r="AV13" i="5"/>
  <c r="AA9" i="5"/>
  <c r="AP9" i="5" s="1"/>
  <c r="AV14" i="5"/>
  <c r="G85" i="2"/>
  <c r="B85" i="2"/>
  <c r="AA7" i="5"/>
  <c r="AP7" i="5" s="1"/>
  <c r="G90" i="2"/>
  <c r="B90" i="2"/>
  <c r="G87" i="2"/>
  <c r="B87" i="2"/>
  <c r="I86" i="2"/>
  <c r="AA11" i="5"/>
  <c r="AP11" i="5" s="1"/>
  <c r="H18" i="3"/>
  <c r="H95" i="2"/>
  <c r="AA19" i="5"/>
  <c r="AP19" i="5" s="1"/>
  <c r="H15" i="3"/>
  <c r="H92" i="2"/>
  <c r="H16" i="3"/>
  <c r="H93" i="2"/>
  <c r="I91" i="2"/>
  <c r="AA17" i="5"/>
  <c r="AP17" i="5" s="1"/>
  <c r="G95" i="2"/>
  <c r="B95" i="2"/>
  <c r="AV15" i="5"/>
  <c r="I94" i="2"/>
  <c r="AA10" i="5"/>
  <c r="AP10" i="5" s="1"/>
  <c r="AV12" i="5"/>
  <c r="B92" i="2"/>
  <c r="G92" i="2"/>
  <c r="B93" i="2"/>
  <c r="G93" i="2"/>
  <c r="I89" i="2"/>
  <c r="I85" i="2" l="1"/>
  <c r="AV10" i="5"/>
  <c r="AV11" i="5"/>
  <c r="B96" i="2"/>
  <c r="G96" i="2"/>
  <c r="I92" i="2"/>
  <c r="AV18" i="5"/>
  <c r="I87" i="2"/>
  <c r="AP19" i="7"/>
  <c r="H19" i="2" s="1"/>
  <c r="I19" i="3" s="1"/>
  <c r="I90" i="2"/>
  <c r="AV17" i="5"/>
  <c r="AV9" i="5"/>
  <c r="AV6" i="5"/>
  <c r="H19" i="3"/>
  <c r="H96" i="2"/>
  <c r="AV8" i="5"/>
  <c r="I93" i="2"/>
  <c r="AV19" i="5"/>
  <c r="I95" i="2"/>
  <c r="AV7" i="5"/>
  <c r="I96" i="2" l="1"/>
  <c r="BD6" i="5" l="1"/>
  <c r="BD7" i="5"/>
  <c r="BD8" i="5"/>
  <c r="BD9" i="5"/>
  <c r="BD10" i="5"/>
  <c r="BD11" i="5"/>
  <c r="BD12" i="5"/>
  <c r="BD13" i="5"/>
  <c r="BD14" i="5"/>
  <c r="BD15" i="5"/>
  <c r="BD16" i="5"/>
  <c r="BD17" i="5"/>
  <c r="BD18" i="5"/>
  <c r="BD19" i="5"/>
  <c r="F24" i="7" l="1"/>
  <c r="N24" i="7" s="1"/>
  <c r="X24" i="7" s="1"/>
  <c r="AK24" i="7" s="1"/>
  <c r="AP24" i="7" s="1"/>
  <c r="H24" i="2" s="1"/>
  <c r="I24" i="3" s="1"/>
  <c r="F24" i="6"/>
  <c r="N24" i="6" s="1"/>
  <c r="Y24" i="6" s="1"/>
  <c r="AM24" i="6" s="1"/>
  <c r="F23" i="7"/>
  <c r="N23" i="7" s="1"/>
  <c r="X23" i="7" s="1"/>
  <c r="AK23" i="7" s="1"/>
  <c r="AP23" i="7" s="1"/>
  <c r="H23" i="2" s="1"/>
  <c r="I23" i="3" s="1"/>
  <c r="F23" i="6"/>
  <c r="N23" i="6" s="1"/>
  <c r="Y23" i="6" s="1"/>
  <c r="AM23" i="6" s="1"/>
  <c r="F25" i="6"/>
  <c r="N25" i="6" s="1"/>
  <c r="Y25" i="6" s="1"/>
  <c r="AM25" i="6" s="1"/>
  <c r="F25" i="7"/>
  <c r="N25" i="7" s="1"/>
  <c r="X25" i="7" s="1"/>
  <c r="AK25" i="7" s="1"/>
  <c r="AP25" i="7" s="1"/>
  <c r="H25" i="2" s="1"/>
  <c r="I25" i="3" s="1"/>
  <c r="F20" i="7"/>
  <c r="N20" i="7" s="1"/>
  <c r="X20" i="7" s="1"/>
  <c r="AK20" i="7" s="1"/>
  <c r="AP20" i="7" s="1"/>
  <c r="H20" i="2" s="1"/>
  <c r="I20" i="3" s="1"/>
  <c r="F20" i="6"/>
  <c r="N20" i="6" s="1"/>
  <c r="Y20" i="6" s="1"/>
  <c r="AM20" i="6" s="1"/>
  <c r="D64" i="2"/>
  <c r="BJ10" i="5"/>
  <c r="D73" i="2"/>
  <c r="BJ19" i="5"/>
  <c r="D69" i="2"/>
  <c r="BJ15" i="5"/>
  <c r="D65" i="2"/>
  <c r="BJ11" i="5"/>
  <c r="D61" i="2"/>
  <c r="BJ7" i="5"/>
  <c r="D68" i="2"/>
  <c r="BJ14" i="5"/>
  <c r="D60" i="2"/>
  <c r="BJ6" i="5"/>
  <c r="D71" i="2"/>
  <c r="BJ17" i="5"/>
  <c r="D67" i="2"/>
  <c r="BJ13" i="5"/>
  <c r="D63" i="2"/>
  <c r="BJ9" i="5"/>
  <c r="D72" i="2"/>
  <c r="BJ18" i="5"/>
  <c r="D70" i="2"/>
  <c r="BJ16" i="5"/>
  <c r="D66" i="2"/>
  <c r="BJ12" i="5"/>
  <c r="D62" i="2"/>
  <c r="BJ8" i="5"/>
  <c r="BD25" i="5"/>
  <c r="F21" i="6" l="1"/>
  <c r="N21" i="6" s="1"/>
  <c r="Y21" i="6" s="1"/>
  <c r="AM21" i="6" s="1"/>
  <c r="F21" i="7"/>
  <c r="N21" i="7" s="1"/>
  <c r="X21" i="7" s="1"/>
  <c r="AK21" i="7" s="1"/>
  <c r="AP21" i="7" s="1"/>
  <c r="H21" i="2" s="1"/>
  <c r="I21" i="3" s="1"/>
  <c r="D97" i="2"/>
  <c r="AS20" i="6"/>
  <c r="F20" i="2" s="1"/>
  <c r="D100" i="2"/>
  <c r="AS23" i="6"/>
  <c r="F23" i="2" s="1"/>
  <c r="F22" i="7"/>
  <c r="N22" i="7" s="1"/>
  <c r="X22" i="7" s="1"/>
  <c r="AK22" i="7" s="1"/>
  <c r="AP22" i="7" s="1"/>
  <c r="H22" i="2" s="1"/>
  <c r="I22" i="3" s="1"/>
  <c r="F22" i="6"/>
  <c r="N22" i="6" s="1"/>
  <c r="Y22" i="6" s="1"/>
  <c r="AM22" i="6" s="1"/>
  <c r="D101" i="2"/>
  <c r="AS24" i="6"/>
  <c r="F24" i="2" s="1"/>
  <c r="D102" i="2"/>
  <c r="AS25" i="6"/>
  <c r="F25" i="2" s="1"/>
  <c r="B63" i="2"/>
  <c r="H63" i="2"/>
  <c r="CH8" i="5"/>
  <c r="D8" i="2"/>
  <c r="D16" i="2"/>
  <c r="CH16" i="5"/>
  <c r="CH9" i="5"/>
  <c r="D9" i="2"/>
  <c r="CH17" i="5"/>
  <c r="D17" i="2"/>
  <c r="D14" i="2"/>
  <c r="CH14" i="5"/>
  <c r="D11" i="2"/>
  <c r="CH11" i="5"/>
  <c r="CH19" i="5"/>
  <c r="D19" i="2"/>
  <c r="B62" i="2"/>
  <c r="H62" i="2"/>
  <c r="B71" i="2"/>
  <c r="H71" i="2"/>
  <c r="H65" i="2"/>
  <c r="B65" i="2"/>
  <c r="D12" i="2"/>
  <c r="CH12" i="5"/>
  <c r="D18" i="2"/>
  <c r="CH18" i="5"/>
  <c r="CH13" i="5"/>
  <c r="D13" i="2"/>
  <c r="CH6" i="5"/>
  <c r="D6" i="2"/>
  <c r="D7" i="2"/>
  <c r="CH7" i="5"/>
  <c r="D15" i="2"/>
  <c r="CH15" i="5"/>
  <c r="D10" i="2"/>
  <c r="CH10" i="5"/>
  <c r="H70" i="2"/>
  <c r="B70" i="2"/>
  <c r="H68" i="2"/>
  <c r="B68" i="2"/>
  <c r="H73" i="2"/>
  <c r="B73" i="2"/>
  <c r="B66" i="2"/>
  <c r="H66" i="2"/>
  <c r="H72" i="2"/>
  <c r="B72" i="2"/>
  <c r="B67" i="2"/>
  <c r="H67" i="2"/>
  <c r="H60" i="2"/>
  <c r="B60" i="2"/>
  <c r="H61" i="2"/>
  <c r="B61" i="2"/>
  <c r="H69" i="2"/>
  <c r="B69" i="2"/>
  <c r="B64" i="2"/>
  <c r="H64" i="2"/>
  <c r="BD21" i="5"/>
  <c r="BD24" i="5"/>
  <c r="BD20" i="5"/>
  <c r="BD23" i="5"/>
  <c r="BD22" i="5"/>
  <c r="G23" i="5"/>
  <c r="P23" i="5" s="1"/>
  <c r="AA23" i="5" s="1"/>
  <c r="AP23" i="5" s="1"/>
  <c r="G25" i="5"/>
  <c r="P25" i="5" s="1"/>
  <c r="AA25" i="5" s="1"/>
  <c r="AP25" i="5" s="1"/>
  <c r="G22" i="5"/>
  <c r="P22" i="5" s="1"/>
  <c r="AA22" i="5" s="1"/>
  <c r="AP22" i="5" s="1"/>
  <c r="G24" i="5"/>
  <c r="P24" i="5" s="1"/>
  <c r="AA24" i="5" s="1"/>
  <c r="AP24" i="5" s="1"/>
  <c r="G21" i="5"/>
  <c r="P21" i="5" s="1"/>
  <c r="AA21" i="5" s="1"/>
  <c r="AP21" i="5" s="1"/>
  <c r="G20" i="5"/>
  <c r="P20" i="5" s="1"/>
  <c r="AA20" i="5" s="1"/>
  <c r="AP20" i="5" s="1"/>
  <c r="H102" i="2" l="1"/>
  <c r="H25" i="3"/>
  <c r="D99" i="2"/>
  <c r="AS22" i="6"/>
  <c r="F22" i="2" s="1"/>
  <c r="H20" i="3"/>
  <c r="H97" i="2"/>
  <c r="B102" i="2"/>
  <c r="G102" i="2"/>
  <c r="G97" i="2"/>
  <c r="B97" i="2"/>
  <c r="H24" i="3"/>
  <c r="H101" i="2"/>
  <c r="H100" i="2"/>
  <c r="H23" i="3"/>
  <c r="B101" i="2"/>
  <c r="G101" i="2"/>
  <c r="B100" i="2"/>
  <c r="G100" i="2"/>
  <c r="D98" i="2"/>
  <c r="AS21" i="6"/>
  <c r="F21" i="2" s="1"/>
  <c r="F10" i="3"/>
  <c r="J10" i="3" s="1"/>
  <c r="I64" i="2"/>
  <c r="J64" i="2" s="1"/>
  <c r="F19" i="3"/>
  <c r="J19" i="3" s="1"/>
  <c r="I73" i="2"/>
  <c r="J73" i="2" s="1"/>
  <c r="I63" i="2"/>
  <c r="J63" i="2" s="1"/>
  <c r="F9" i="3"/>
  <c r="J9" i="3" s="1"/>
  <c r="F8" i="3"/>
  <c r="J8" i="3" s="1"/>
  <c r="I62" i="2"/>
  <c r="J62" i="2" s="1"/>
  <c r="D77" i="2"/>
  <c r="AV23" i="5"/>
  <c r="BJ23" i="5" s="1"/>
  <c r="F6" i="3"/>
  <c r="J6" i="3" s="1"/>
  <c r="I60" i="2"/>
  <c r="J60" i="2" s="1"/>
  <c r="I68" i="2"/>
  <c r="J68" i="2" s="1"/>
  <c r="F14" i="3"/>
  <c r="J14" i="3" s="1"/>
  <c r="D76" i="2"/>
  <c r="AV22" i="5"/>
  <c r="BJ22" i="5" s="1"/>
  <c r="I66" i="2"/>
  <c r="J66" i="2" s="1"/>
  <c r="F12" i="3"/>
  <c r="J12" i="3" s="1"/>
  <c r="D75" i="2"/>
  <c r="AV21" i="5"/>
  <c r="BJ21" i="5" s="1"/>
  <c r="AV24" i="5"/>
  <c r="BJ24" i="5" s="1"/>
  <c r="D78" i="2"/>
  <c r="F15" i="3"/>
  <c r="J15" i="3" s="1"/>
  <c r="I69" i="2"/>
  <c r="J69" i="2" s="1"/>
  <c r="I72" i="2"/>
  <c r="J72" i="2" s="1"/>
  <c r="F18" i="3"/>
  <c r="J18" i="3" s="1"/>
  <c r="I71" i="2"/>
  <c r="J71" i="2" s="1"/>
  <c r="F17" i="3"/>
  <c r="J17" i="3" s="1"/>
  <c r="F7" i="3"/>
  <c r="J7" i="3" s="1"/>
  <c r="I61" i="2"/>
  <c r="J61" i="2" s="1"/>
  <c r="AV20" i="5"/>
  <c r="BJ20" i="5" s="1"/>
  <c r="D74" i="2"/>
  <c r="AV25" i="5"/>
  <c r="BJ25" i="5" s="1"/>
  <c r="D79" i="2"/>
  <c r="I67" i="2"/>
  <c r="J67" i="2" s="1"/>
  <c r="F13" i="3"/>
  <c r="J13" i="3" s="1"/>
  <c r="F11" i="3"/>
  <c r="J11" i="3" s="1"/>
  <c r="I65" i="2"/>
  <c r="J65" i="2" s="1"/>
  <c r="I70" i="2"/>
  <c r="J70" i="2" s="1"/>
  <c r="F16" i="3"/>
  <c r="J16" i="3" s="1"/>
  <c r="I101" i="2" l="1"/>
  <c r="H99" i="2"/>
  <c r="H22" i="3"/>
  <c r="B98" i="2"/>
  <c r="G98" i="2"/>
  <c r="B99" i="2"/>
  <c r="G99" i="2"/>
  <c r="I97" i="2"/>
  <c r="H21" i="3"/>
  <c r="H98" i="2"/>
  <c r="I98" i="2" s="1"/>
  <c r="I100" i="2"/>
  <c r="I102" i="2"/>
  <c r="B79" i="2"/>
  <c r="H79" i="2"/>
  <c r="B76" i="2"/>
  <c r="H76" i="2"/>
  <c r="H74" i="2"/>
  <c r="B74" i="2"/>
  <c r="CH21" i="5"/>
  <c r="D21" i="2"/>
  <c r="CH22" i="5"/>
  <c r="D22" i="2"/>
  <c r="CH25" i="5"/>
  <c r="D25" i="2"/>
  <c r="H78" i="2"/>
  <c r="B78" i="2"/>
  <c r="CH23" i="5"/>
  <c r="D23" i="2"/>
  <c r="CH20" i="5"/>
  <c r="D20" i="2"/>
  <c r="B75" i="2"/>
  <c r="H75" i="2"/>
  <c r="D24" i="2"/>
  <c r="CH24" i="5"/>
  <c r="B77" i="2"/>
  <c r="H77" i="2"/>
  <c r="I99" i="2" l="1"/>
  <c r="F20" i="3"/>
  <c r="J20" i="3" s="1"/>
  <c r="I74" i="2"/>
  <c r="J74" i="2" s="1"/>
  <c r="I78" i="2"/>
  <c r="J78" i="2" s="1"/>
  <c r="F24" i="3"/>
  <c r="J24" i="3" s="1"/>
  <c r="I76" i="2"/>
  <c r="J76" i="2" s="1"/>
  <c r="F22" i="3"/>
  <c r="J22" i="3" s="1"/>
  <c r="I75" i="2"/>
  <c r="J75" i="2" s="1"/>
  <c r="F21" i="3"/>
  <c r="J21" i="3" s="1"/>
  <c r="I77" i="2"/>
  <c r="J77" i="2" s="1"/>
  <c r="F23" i="3"/>
  <c r="J23" i="3" s="1"/>
  <c r="F25" i="3"/>
  <c r="J25" i="3" s="1"/>
  <c r="I79" i="2"/>
  <c r="J79" i="2" s="1"/>
</calcChain>
</file>

<file path=xl/sharedStrings.xml><?xml version="1.0" encoding="utf-8"?>
<sst xmlns="http://schemas.openxmlformats.org/spreadsheetml/2006/main" count="188" uniqueCount="67">
  <si>
    <t>EXP Value</t>
  </si>
  <si>
    <t>Data</t>
  </si>
  <si>
    <t>LN Data</t>
  </si>
  <si>
    <t>Model</t>
  </si>
  <si>
    <t>LV</t>
  </si>
  <si>
    <t>Gross</t>
  </si>
  <si>
    <t>Zero Efficiency</t>
  </si>
  <si>
    <t>ZE prediction of Gross</t>
  </si>
  <si>
    <t>Zero Effic</t>
  </si>
  <si>
    <t>HH.Disp.Inc</t>
  </si>
  <si>
    <t>Employment</t>
  </si>
  <si>
    <t>PricesResidential</t>
  </si>
  <si>
    <t>Constant</t>
  </si>
  <si>
    <t>Efficiency</t>
  </si>
  <si>
    <t>Residential per Person</t>
  </si>
  <si>
    <t>Int Rate</t>
  </si>
  <si>
    <t>R11</t>
  </si>
  <si>
    <t>Gross Total</t>
  </si>
  <si>
    <t>Persons</t>
  </si>
  <si>
    <t>Normalised HV</t>
  </si>
  <si>
    <t>SFD</t>
  </si>
  <si>
    <t>LV6</t>
  </si>
  <si>
    <t>HV</t>
  </si>
  <si>
    <t>HV6</t>
  </si>
  <si>
    <t>Drivers</t>
  </si>
  <si>
    <t>Pop</t>
  </si>
  <si>
    <t>GSP/Person ($)</t>
  </si>
  <si>
    <t>Total</t>
  </si>
  <si>
    <t>Actual</t>
  </si>
  <si>
    <t>LV Gross</t>
  </si>
  <si>
    <t>HV Gross</t>
  </si>
  <si>
    <t>MWh/Pers</t>
  </si>
  <si>
    <t>Time 08</t>
  </si>
  <si>
    <t>Population elasticity</t>
  </si>
  <si>
    <t>Specification</t>
  </si>
  <si>
    <t>Residential GP</t>
  </si>
  <si>
    <t>Weather Normalised Actual</t>
  </si>
  <si>
    <t>Residential OP</t>
  </si>
  <si>
    <t>Net Total</t>
  </si>
  <si>
    <t>Residential Net</t>
  </si>
  <si>
    <t>General efficiency</t>
  </si>
  <si>
    <t>Check</t>
  </si>
  <si>
    <t>Net PV</t>
  </si>
  <si>
    <t>Net Energy</t>
  </si>
  <si>
    <t>EEIA efficiency</t>
  </si>
  <si>
    <t>HH Disp Inc per Person</t>
  </si>
  <si>
    <t>Employment per Person</t>
  </si>
  <si>
    <t>e: Resident population is an estimate for 2013/14, all other variables are actuals</t>
  </si>
  <si>
    <t>1: As at June</t>
  </si>
  <si>
    <t>Forecasts 2015</t>
  </si>
  <si>
    <t>2014e</t>
  </si>
  <si>
    <r>
      <t>Cash Rate</t>
    </r>
    <r>
      <rPr>
        <vertAlign val="superscript"/>
        <sz val="11"/>
        <color theme="1"/>
        <rFont val="Calibri"/>
        <family val="2"/>
      </rPr>
      <t>1</t>
    </r>
  </si>
  <si>
    <t>Resident Population</t>
  </si>
  <si>
    <t>Real State Final Demand</t>
  </si>
  <si>
    <t>Year Ending June</t>
  </si>
  <si>
    <t>Percentage change (year on year)</t>
  </si>
  <si>
    <t>BIS Shrapnel forecasts 12/12/14</t>
  </si>
  <si>
    <t>e: estimate (state final demand, employment and cash rate are actuals for 2012/13)</t>
  </si>
  <si>
    <t>Forecasts 2014</t>
  </si>
  <si>
    <t>2013e</t>
  </si>
  <si>
    <t>% Ch</t>
  </si>
  <si>
    <t>$M(10/11p)</t>
  </si>
  <si>
    <t>Forecasts</t>
  </si>
  <si>
    <t>SKM</t>
  </si>
  <si>
    <t>BIS</t>
  </si>
  <si>
    <t>SKM End June</t>
  </si>
  <si>
    <t>Employment Per 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</si>
</sst>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;[Red]\-&quot;$&quot;#,##0"/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"/>
    <numFmt numFmtId="167" formatCode="0.000"/>
    <numFmt numFmtId="168" formatCode="#,##0.0"/>
    <numFmt numFmtId="169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sz val="11"/>
      <color theme="1" tint="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auto="1"/>
      </right>
      <top/>
      <bottom/>
      <diagonal/>
    </border>
    <border>
      <left style="thin">
        <color theme="1" tint="0.499984740745262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theme="1" tint="0.499984740745262"/>
      </top>
      <bottom style="thin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auto="1"/>
      </bottom>
      <diagonal/>
    </border>
    <border>
      <left/>
      <right/>
      <top style="thin">
        <color theme="1" tint="0.499984740745262"/>
      </top>
      <bottom style="thin">
        <color auto="1"/>
      </bottom>
      <diagonal/>
    </border>
    <border>
      <left style="thin">
        <color theme="1" tint="0.499984740745262"/>
      </left>
      <right style="thin">
        <color auto="1"/>
      </right>
      <top style="thin">
        <color theme="1" tint="0.499984740745262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1" tint="0.4999847407452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 tint="0.499984740745262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3" borderId="1" applyNumberFormat="0" applyAlignment="0" applyProtection="0"/>
  </cellStyleXfs>
  <cellXfs count="92">
    <xf numFmtId="0" fontId="0" fillId="0" borderId="0" xfId="0"/>
    <xf numFmtId="43" fontId="0" fillId="0" borderId="0" xfId="0" applyNumberFormat="1"/>
    <xf numFmtId="2" fontId="0" fillId="0" borderId="0" xfId="0" applyNumberFormat="1"/>
    <xf numFmtId="1" fontId="0" fillId="0" borderId="0" xfId="0" applyNumberFormat="1"/>
    <xf numFmtId="0" fontId="2" fillId="0" borderId="0" xfId="0" applyFont="1"/>
    <xf numFmtId="3" fontId="0" fillId="0" borderId="0" xfId="0" applyNumberFormat="1"/>
    <xf numFmtId="1" fontId="2" fillId="0" borderId="0" xfId="0" applyNumberFormat="1" applyFont="1"/>
    <xf numFmtId="3" fontId="2" fillId="0" borderId="0" xfId="0" applyNumberFormat="1" applyFont="1"/>
    <xf numFmtId="164" fontId="0" fillId="0" borderId="0" xfId="1" applyNumberFormat="1" applyFont="1"/>
    <xf numFmtId="165" fontId="0" fillId="0" borderId="0" xfId="0" applyNumberFormat="1"/>
    <xf numFmtId="10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2" fillId="0" borderId="0" xfId="0" applyNumberFormat="1" applyFont="1"/>
    <xf numFmtId="10" fontId="2" fillId="0" borderId="0" xfId="0" applyNumberFormat="1" applyFont="1"/>
    <xf numFmtId="6" fontId="0" fillId="0" borderId="0" xfId="0" applyNumberFormat="1"/>
    <xf numFmtId="164" fontId="2" fillId="0" borderId="0" xfId="0" applyNumberFormat="1" applyFont="1"/>
    <xf numFmtId="167" fontId="2" fillId="0" borderId="0" xfId="0" applyNumberFormat="1" applyFont="1"/>
    <xf numFmtId="0" fontId="0" fillId="2" borderId="0" xfId="0" applyFill="1"/>
    <xf numFmtId="9" fontId="0" fillId="0" borderId="0" xfId="0" applyNumberFormat="1"/>
    <xf numFmtId="168" fontId="0" fillId="0" borderId="0" xfId="0" applyNumberFormat="1"/>
    <xf numFmtId="164" fontId="0" fillId="0" borderId="0" xfId="0" applyNumberFormat="1"/>
    <xf numFmtId="0" fontId="0" fillId="0" borderId="0" xfId="0" quotePrefix="1"/>
    <xf numFmtId="165" fontId="0" fillId="0" borderId="0" xfId="2" applyNumberFormat="1" applyFont="1"/>
    <xf numFmtId="1" fontId="4" fillId="3" borderId="1" xfId="3" applyNumberFormat="1"/>
    <xf numFmtId="2" fontId="5" fillId="0" borderId="0" xfId="0" applyNumberFormat="1" applyFont="1"/>
    <xf numFmtId="0" fontId="0" fillId="0" borderId="0" xfId="0" applyFill="1"/>
    <xf numFmtId="2" fontId="0" fillId="0" borderId="0" xfId="0" applyNumberFormat="1" applyFill="1"/>
    <xf numFmtId="0" fontId="0" fillId="0" borderId="0" xfId="0" applyBorder="1"/>
    <xf numFmtId="0" fontId="3" fillId="0" borderId="0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0" xfId="0" applyAlignment="1">
      <alignment horizontal="left"/>
    </xf>
    <xf numFmtId="2" fontId="0" fillId="0" borderId="5" xfId="0" applyNumberFormat="1" applyBorder="1" applyAlignment="1">
      <alignment horizontal="right"/>
    </xf>
    <xf numFmtId="10" fontId="0" fillId="0" borderId="5" xfId="1" applyNumberFormat="1" applyFont="1" applyBorder="1"/>
    <xf numFmtId="0" fontId="0" fillId="0" borderId="5" xfId="0" applyBorder="1" applyAlignment="1">
      <alignment horizontal="right"/>
    </xf>
    <xf numFmtId="2" fontId="0" fillId="0" borderId="0" xfId="0" applyNumberFormat="1" applyAlignment="1">
      <alignment horizontal="right"/>
    </xf>
    <xf numFmtId="10" fontId="0" fillId="0" borderId="0" xfId="1" applyNumberFormat="1" applyFon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2" fontId="0" fillId="0" borderId="0" xfId="0" applyNumberForma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6" xfId="0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" fontId="0" fillId="0" borderId="7" xfId="0" applyNumberForma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6" fontId="8" fillId="0" borderId="9" xfId="0" applyNumberFormat="1" applyFon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6" fontId="8" fillId="0" borderId="9" xfId="0" applyNumberFormat="1" applyFon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166" fontId="8" fillId="0" borderId="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right"/>
    </xf>
    <xf numFmtId="3" fontId="0" fillId="0" borderId="0" xfId="0" applyNumberForma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0" xfId="0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169" fontId="0" fillId="0" borderId="0" xfId="0" applyNumberFormat="1"/>
    <xf numFmtId="10" fontId="2" fillId="0" borderId="0" xfId="1" applyNumberFormat="1" applyFont="1"/>
    <xf numFmtId="4" fontId="0" fillId="0" borderId="19" xfId="0" applyNumberForma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166" fontId="8" fillId="0" borderId="20" xfId="0" applyNumberFormat="1" applyFont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4">
    <cellStyle name="Comma" xfId="2" builtinId="3"/>
    <cellStyle name="Normal" xfId="0" builtinId="0"/>
    <cellStyle name="Output" xfId="3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15507436570428"/>
          <c:y val="4.7829909755399275E-2"/>
          <c:w val="0.52585498687664045"/>
          <c:h val="0.79786993705537468"/>
        </c:manualLayout>
      </c:layout>
      <c:areaChart>
        <c:grouping val="stacked"/>
        <c:varyColors val="0"/>
        <c:ser>
          <c:idx val="4"/>
          <c:order val="0"/>
          <c:tx>
            <c:strRef>
              <c:f>Preferred!$H$59</c:f>
              <c:strCache>
                <c:ptCount val="1"/>
                <c:pt idx="0">
                  <c:v>Net Energy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Preferred!$H$60:$H$79</c:f>
              <c:numCache>
                <c:formatCode>0</c:formatCode>
                <c:ptCount val="20"/>
                <c:pt idx="0">
                  <c:v>964.56726418188998</c:v>
                </c:pt>
                <c:pt idx="1">
                  <c:v>978.39444016640869</c:v>
                </c:pt>
                <c:pt idx="2">
                  <c:v>980.70025212303494</c:v>
                </c:pt>
                <c:pt idx="3">
                  <c:v>1002.3719719005716</c:v>
                </c:pt>
                <c:pt idx="4">
                  <c:v>989.76846272151442</c:v>
                </c:pt>
                <c:pt idx="5">
                  <c:v>1016.6016021072735</c:v>
                </c:pt>
                <c:pt idx="6">
                  <c:v>1034.0534408606279</c:v>
                </c:pt>
                <c:pt idx="7">
                  <c:v>1077.8766308086488</c:v>
                </c:pt>
                <c:pt idx="8">
                  <c:v>1074.547473814883</c:v>
                </c:pt>
                <c:pt idx="9">
                  <c:v>1073.9946794387215</c:v>
                </c:pt>
                <c:pt idx="10">
                  <c:v>1067.618567570204</c:v>
                </c:pt>
                <c:pt idx="11">
                  <c:v>1077.6831680669768</c:v>
                </c:pt>
                <c:pt idx="12">
                  <c:v>1071.3172070660698</c:v>
                </c:pt>
                <c:pt idx="13">
                  <c:v>1071.875139600181</c:v>
                </c:pt>
                <c:pt idx="14">
                  <c:v>1052.1164811932413</c:v>
                </c:pt>
                <c:pt idx="15">
                  <c:v>1021.8644913558466</c:v>
                </c:pt>
                <c:pt idx="16">
                  <c:v>999.95487434410416</c:v>
                </c:pt>
                <c:pt idx="17">
                  <c:v>1004.2451892802084</c:v>
                </c:pt>
                <c:pt idx="18">
                  <c:v>1011.3148749382731</c:v>
                </c:pt>
                <c:pt idx="19">
                  <c:v>1014.1917202320323</c:v>
                </c:pt>
              </c:numCache>
            </c:numRef>
          </c:val>
        </c:ser>
        <c:ser>
          <c:idx val="1"/>
          <c:order val="1"/>
          <c:tx>
            <c:strRef>
              <c:f>Preferred!$E$59</c:f>
              <c:strCache>
                <c:ptCount val="1"/>
                <c:pt idx="0">
                  <c:v>General efficiency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Preferred!$E$60:$E$79</c:f>
              <c:numCache>
                <c:formatCode>0</c:formatCode>
                <c:ptCount val="20"/>
                <c:pt idx="0">
                  <c:v>9.5800558211262796</c:v>
                </c:pt>
                <c:pt idx="1">
                  <c:v>11.354700101523122</c:v>
                </c:pt>
                <c:pt idx="2">
                  <c:v>13.0226319193481</c:v>
                </c:pt>
                <c:pt idx="3">
                  <c:v>16.380172933672952</c:v>
                </c:pt>
                <c:pt idx="4">
                  <c:v>19.744029223626058</c:v>
                </c:pt>
                <c:pt idx="5">
                  <c:v>27.873988400636108</c:v>
                </c:pt>
                <c:pt idx="6">
                  <c:v>36.654380727649823</c:v>
                </c:pt>
                <c:pt idx="7">
                  <c:v>46.861511429990742</c:v>
                </c:pt>
                <c:pt idx="8">
                  <c:v>59.907849126869905</c:v>
                </c:pt>
                <c:pt idx="9">
                  <c:v>73.061319177242694</c:v>
                </c:pt>
                <c:pt idx="10">
                  <c:v>86.452592322400733</c:v>
                </c:pt>
                <c:pt idx="11">
                  <c:v>100.94436467148444</c:v>
                </c:pt>
                <c:pt idx="12">
                  <c:v>115.46608575605092</c:v>
                </c:pt>
                <c:pt idx="13">
                  <c:v>130.65210034936081</c:v>
                </c:pt>
                <c:pt idx="14">
                  <c:v>143.42677138663021</c:v>
                </c:pt>
                <c:pt idx="15">
                  <c:v>155.38976646287165</c:v>
                </c:pt>
                <c:pt idx="16">
                  <c:v>172.42948168659359</c:v>
                </c:pt>
                <c:pt idx="17">
                  <c:v>191.6376632930203</c:v>
                </c:pt>
                <c:pt idx="18">
                  <c:v>211.33713989671878</c:v>
                </c:pt>
                <c:pt idx="19">
                  <c:v>229.33209213158057</c:v>
                </c:pt>
              </c:numCache>
            </c:numRef>
          </c:val>
        </c:ser>
        <c:ser>
          <c:idx val="2"/>
          <c:order val="2"/>
          <c:tx>
            <c:strRef>
              <c:f>Preferred!$F$59</c:f>
              <c:strCache>
                <c:ptCount val="1"/>
                <c:pt idx="0">
                  <c:v>EEIA efficiency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Preferred!$F$60:$F$79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9.8814370643824532</c:v>
                </c:pt>
                <c:pt idx="15">
                  <c:v>22.464895898204077</c:v>
                </c:pt>
                <c:pt idx="16">
                  <c:v>33.039293018298281</c:v>
                </c:pt>
                <c:pt idx="17">
                  <c:v>36.645165950062164</c:v>
                </c:pt>
                <c:pt idx="18">
                  <c:v>36.609972742304308</c:v>
                </c:pt>
                <c:pt idx="19">
                  <c:v>36.239235877841566</c:v>
                </c:pt>
              </c:numCache>
            </c:numRef>
          </c:val>
        </c:ser>
        <c:ser>
          <c:idx val="3"/>
          <c:order val="3"/>
          <c:tx>
            <c:strRef>
              <c:f>Preferred!$G$59</c:f>
              <c:strCache>
                <c:ptCount val="1"/>
                <c:pt idx="0">
                  <c:v>Net PV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Preferred!$G$60:$G$79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0.63228018239580519</c:v>
                </c:pt>
                <c:pt idx="15">
                  <c:v>3.2333337877740695</c:v>
                </c:pt>
                <c:pt idx="16">
                  <c:v>5.9997860526651818</c:v>
                </c:pt>
                <c:pt idx="17">
                  <c:v>9.2907645975209103</c:v>
                </c:pt>
                <c:pt idx="18">
                  <c:v>13.205720919070538</c:v>
                </c:pt>
                <c:pt idx="19">
                  <c:v>16.184102575953037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94720"/>
        <c:axId val="120496512"/>
      </c:areaChart>
      <c:lineChart>
        <c:grouping val="standard"/>
        <c:varyColors val="0"/>
        <c:ser>
          <c:idx val="0"/>
          <c:order val="4"/>
          <c:tx>
            <c:strRef>
              <c:f>Preferred!$D$59</c:f>
              <c:strCache>
                <c:ptCount val="1"/>
                <c:pt idx="0">
                  <c:v>Zero Effic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Preferred!$D$60:$D$79</c:f>
              <c:numCache>
                <c:formatCode>0</c:formatCode>
                <c:ptCount val="20"/>
                <c:pt idx="0">
                  <c:v>974.14732000301626</c:v>
                </c:pt>
                <c:pt idx="1">
                  <c:v>989.74914026793181</c:v>
                </c:pt>
                <c:pt idx="2">
                  <c:v>993.72288404238304</c:v>
                </c:pt>
                <c:pt idx="3">
                  <c:v>1018.7521448342445</c:v>
                </c:pt>
                <c:pt idx="4">
                  <c:v>1009.5124919451405</c:v>
                </c:pt>
                <c:pt idx="5">
                  <c:v>1044.4755905079096</c:v>
                </c:pt>
                <c:pt idx="6">
                  <c:v>1070.7078215882777</c:v>
                </c:pt>
                <c:pt idx="7">
                  <c:v>1124.7381422386395</c:v>
                </c:pt>
                <c:pt idx="8">
                  <c:v>1134.4553229417529</c:v>
                </c:pt>
                <c:pt idx="9">
                  <c:v>1147.0559986159642</c:v>
                </c:pt>
                <c:pt idx="10">
                  <c:v>1154.0711598926048</c:v>
                </c:pt>
                <c:pt idx="11">
                  <c:v>1178.6275327384612</c:v>
                </c:pt>
                <c:pt idx="12">
                  <c:v>1186.7832928221208</c:v>
                </c:pt>
                <c:pt idx="13">
                  <c:v>1202.5272399495418</c:v>
                </c:pt>
                <c:pt idx="14">
                  <c:v>1206.0569698266497</c:v>
                </c:pt>
                <c:pt idx="15">
                  <c:v>1202.9524875046964</c:v>
                </c:pt>
                <c:pt idx="16">
                  <c:v>1211.4234351016612</c:v>
                </c:pt>
                <c:pt idx="17">
                  <c:v>1241.8187831208118</c:v>
                </c:pt>
                <c:pt idx="18">
                  <c:v>1272.4677084963666</c:v>
                </c:pt>
                <c:pt idx="19">
                  <c:v>1295.9471508174074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94720"/>
        <c:axId val="120496512"/>
      </c:lineChart>
      <c:catAx>
        <c:axId val="12049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120496512"/>
        <c:crosses val="autoZero"/>
        <c:auto val="1"/>
        <c:lblAlgn val="ctr"/>
        <c:lblOffset val="100"/>
        <c:noMultiLvlLbl val="0"/>
      </c:catAx>
      <c:valAx>
        <c:axId val="120496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049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92935258092737"/>
          <c:y val="0.3052458151118661"/>
          <c:w val="0.27840398075240597"/>
          <c:h val="0.38950803056186117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15507436570428"/>
          <c:y val="4.7829909755399275E-2"/>
          <c:w val="0.52585498687664045"/>
          <c:h val="0.79786993705537468"/>
        </c:manualLayout>
      </c:layout>
      <c:areaChart>
        <c:grouping val="stacked"/>
        <c:varyColors val="0"/>
        <c:ser>
          <c:idx val="4"/>
          <c:order val="0"/>
          <c:tx>
            <c:strRef>
              <c:f>Preferred!$H$59</c:f>
              <c:strCache>
                <c:ptCount val="1"/>
                <c:pt idx="0">
                  <c:v>Net Energy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Preferred!$G$83:$G$102</c:f>
              <c:numCache>
                <c:formatCode>0</c:formatCode>
                <c:ptCount val="20"/>
                <c:pt idx="0">
                  <c:v>1026.264326943673</c:v>
                </c:pt>
                <c:pt idx="1">
                  <c:v>1043.307576056706</c:v>
                </c:pt>
                <c:pt idx="2">
                  <c:v>1067.4256352258678</c:v>
                </c:pt>
                <c:pt idx="3">
                  <c:v>1123.7750497410141</c:v>
                </c:pt>
                <c:pt idx="4">
                  <c:v>1153.2557852681168</c:v>
                </c:pt>
                <c:pt idx="5">
                  <c:v>1185.2717988884369</c:v>
                </c:pt>
                <c:pt idx="6">
                  <c:v>1211.6628388305717</c:v>
                </c:pt>
                <c:pt idx="7">
                  <c:v>1303.1332895465418</c:v>
                </c:pt>
                <c:pt idx="8">
                  <c:v>1319.2567788718904</c:v>
                </c:pt>
                <c:pt idx="9">
                  <c:v>1310.4823127950513</c:v>
                </c:pt>
                <c:pt idx="10">
                  <c:v>1304.2614560358488</c:v>
                </c:pt>
                <c:pt idx="11">
                  <c:v>1341.4922189194037</c:v>
                </c:pt>
                <c:pt idx="12">
                  <c:v>1352.7096368416094</c:v>
                </c:pt>
                <c:pt idx="13">
                  <c:v>1345.8198957059112</c:v>
                </c:pt>
                <c:pt idx="14">
                  <c:v>1323.5517764785141</c:v>
                </c:pt>
                <c:pt idx="15">
                  <c:v>1307.1630955315804</c:v>
                </c:pt>
                <c:pt idx="16">
                  <c:v>1310.1379481728256</c:v>
                </c:pt>
                <c:pt idx="17">
                  <c:v>1341.2449461767096</c:v>
                </c:pt>
                <c:pt idx="18">
                  <c:v>1360.688456706092</c:v>
                </c:pt>
                <c:pt idx="19">
                  <c:v>1371.681364204414</c:v>
                </c:pt>
              </c:numCache>
            </c:numRef>
          </c:val>
        </c:ser>
        <c:ser>
          <c:idx val="1"/>
          <c:order val="1"/>
          <c:tx>
            <c:strRef>
              <c:f>Preferred!$E$59</c:f>
              <c:strCache>
                <c:ptCount val="1"/>
                <c:pt idx="0">
                  <c:v>General efficiency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Preferred!$E$83:$E$102</c:f>
              <c:numCache>
                <c:formatCode>0</c:formatCode>
                <c:ptCount val="20"/>
                <c:pt idx="0">
                  <c:v>4.2959902058107673</c:v>
                </c:pt>
                <c:pt idx="1">
                  <c:v>5.6775342510993596</c:v>
                </c:pt>
                <c:pt idx="2">
                  <c:v>7.149269370815091</c:v>
                </c:pt>
                <c:pt idx="3">
                  <c:v>10.40063608899095</c:v>
                </c:pt>
                <c:pt idx="4">
                  <c:v>13.622833963479707</c:v>
                </c:pt>
                <c:pt idx="5">
                  <c:v>19.016893534927476</c:v>
                </c:pt>
                <c:pt idx="6">
                  <c:v>25.075080667543261</c:v>
                </c:pt>
                <c:pt idx="7">
                  <c:v>33.028178396028807</c:v>
                </c:pt>
                <c:pt idx="8">
                  <c:v>43.742566336664822</c:v>
                </c:pt>
                <c:pt idx="9">
                  <c:v>53.688822252322325</c:v>
                </c:pt>
                <c:pt idx="10">
                  <c:v>63.622556287818725</c:v>
                </c:pt>
                <c:pt idx="11">
                  <c:v>75.91812542112848</c:v>
                </c:pt>
                <c:pt idx="12">
                  <c:v>92.49496217756905</c:v>
                </c:pt>
                <c:pt idx="13">
                  <c:v>107.88467861623917</c:v>
                </c:pt>
                <c:pt idx="14">
                  <c:v>116.93562848213946</c:v>
                </c:pt>
                <c:pt idx="15">
                  <c:v>128.13454780450797</c:v>
                </c:pt>
                <c:pt idx="16">
                  <c:v>142.45331526570999</c:v>
                </c:pt>
                <c:pt idx="17">
                  <c:v>158.41063109245238</c:v>
                </c:pt>
                <c:pt idx="18">
                  <c:v>173.62883381164534</c:v>
                </c:pt>
                <c:pt idx="19">
                  <c:v>188.28657631030001</c:v>
                </c:pt>
              </c:numCache>
            </c:numRef>
          </c:val>
        </c:ser>
        <c:ser>
          <c:idx val="2"/>
          <c:order val="2"/>
          <c:tx>
            <c:strRef>
              <c:f>Preferred!$F$59</c:f>
              <c:strCache>
                <c:ptCount val="1"/>
                <c:pt idx="0">
                  <c:v>EEIA efficiency</c:v>
                </c:pt>
              </c:strCache>
            </c:strRef>
          </c:tx>
          <c:cat>
            <c:numRef>
              <c:f>Preferred!$C$60:$C$79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Preferred!$F$83:$F$102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8.3756698689626319</c:v>
                </c:pt>
                <c:pt idx="15">
                  <c:v>19.491977259439636</c:v>
                </c:pt>
                <c:pt idx="16">
                  <c:v>29.392278166634696</c:v>
                </c:pt>
                <c:pt idx="17">
                  <c:v>33.220039690323574</c:v>
                </c:pt>
                <c:pt idx="18">
                  <c:v>33.491510673510902</c:v>
                </c:pt>
                <c:pt idx="19">
                  <c:v>33.586576181517557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11264"/>
        <c:axId val="128037632"/>
      </c:areaChart>
      <c:lineChart>
        <c:grouping val="standard"/>
        <c:varyColors val="0"/>
        <c:ser>
          <c:idx val="0"/>
          <c:order val="3"/>
          <c:tx>
            <c:strRef>
              <c:f>Preferred!$D$59</c:f>
              <c:strCache>
                <c:ptCount val="1"/>
                <c:pt idx="0">
                  <c:v>Zero Effic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Preferred!$D$83:$D$102</c:f>
              <c:numCache>
                <c:formatCode>0</c:formatCode>
                <c:ptCount val="20"/>
                <c:pt idx="0">
                  <c:v>1030.5603171494838</c:v>
                </c:pt>
                <c:pt idx="1">
                  <c:v>1048.9851103078054</c:v>
                </c:pt>
                <c:pt idx="2">
                  <c:v>1074.5749045966829</c:v>
                </c:pt>
                <c:pt idx="3">
                  <c:v>1134.175685830005</c:v>
                </c:pt>
                <c:pt idx="4">
                  <c:v>1166.8786192315965</c:v>
                </c:pt>
                <c:pt idx="5">
                  <c:v>1204.2886924233644</c:v>
                </c:pt>
                <c:pt idx="6">
                  <c:v>1236.7379194981149</c:v>
                </c:pt>
                <c:pt idx="7">
                  <c:v>1336.1614679425707</c:v>
                </c:pt>
                <c:pt idx="8">
                  <c:v>1362.9993452085553</c:v>
                </c:pt>
                <c:pt idx="9">
                  <c:v>1364.1711350473736</c:v>
                </c:pt>
                <c:pt idx="10">
                  <c:v>1367.8840123236675</c:v>
                </c:pt>
                <c:pt idx="11">
                  <c:v>1417.4103443405322</c:v>
                </c:pt>
                <c:pt idx="12">
                  <c:v>1445.2045990191784</c:v>
                </c:pt>
                <c:pt idx="13">
                  <c:v>1453.7045743221504</c:v>
                </c:pt>
                <c:pt idx="14">
                  <c:v>1448.8630748296162</c:v>
                </c:pt>
                <c:pt idx="15">
                  <c:v>1454.789620595528</c:v>
                </c:pt>
                <c:pt idx="16">
                  <c:v>1481.9835416051703</c:v>
                </c:pt>
                <c:pt idx="17">
                  <c:v>1532.8756169594856</c:v>
                </c:pt>
                <c:pt idx="18">
                  <c:v>1567.8088011912482</c:v>
                </c:pt>
                <c:pt idx="19">
                  <c:v>1593.5545166962315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11264"/>
        <c:axId val="128037632"/>
      </c:lineChart>
      <c:catAx>
        <c:axId val="12801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128037632"/>
        <c:crosses val="autoZero"/>
        <c:auto val="1"/>
        <c:lblAlgn val="ctr"/>
        <c:lblOffset val="100"/>
        <c:noMultiLvlLbl val="0"/>
      </c:catAx>
      <c:valAx>
        <c:axId val="1280376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8011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92935258092737"/>
          <c:y val="0.3052458151118661"/>
          <c:w val="0.27840398075240597"/>
          <c:h val="0.38950803056186117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Preferred!$D$5</c:f>
              <c:strCache>
                <c:ptCount val="1"/>
                <c:pt idx="0">
                  <c:v>R11</c:v>
                </c:pt>
              </c:strCache>
            </c:strRef>
          </c:tx>
          <c:marker>
            <c:symbol val="none"/>
          </c:marker>
          <c:cat>
            <c:numRef>
              <c:f>Preferred!$C$6:$C$25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Preferred!$D$6:$D$25</c:f>
              <c:numCache>
                <c:formatCode>0.00</c:formatCode>
                <c:ptCount val="20"/>
                <c:pt idx="0">
                  <c:v>964.56726418188998</c:v>
                </c:pt>
                <c:pt idx="1">
                  <c:v>978.39444016640869</c:v>
                </c:pt>
                <c:pt idx="2">
                  <c:v>980.70025212303494</c:v>
                </c:pt>
                <c:pt idx="3">
                  <c:v>1002.3719719005716</c:v>
                </c:pt>
                <c:pt idx="4">
                  <c:v>989.76846272151442</c:v>
                </c:pt>
                <c:pt idx="5">
                  <c:v>1016.6016021072735</c:v>
                </c:pt>
                <c:pt idx="6">
                  <c:v>1034.0534408606279</c:v>
                </c:pt>
                <c:pt idx="7">
                  <c:v>1077.8766308086488</c:v>
                </c:pt>
                <c:pt idx="8">
                  <c:v>1074.547473814883</c:v>
                </c:pt>
                <c:pt idx="9">
                  <c:v>1073.9946794387215</c:v>
                </c:pt>
                <c:pt idx="10">
                  <c:v>1067.618567570204</c:v>
                </c:pt>
                <c:pt idx="11">
                  <c:v>1077.6831680669768</c:v>
                </c:pt>
                <c:pt idx="12">
                  <c:v>1071.3172070660698</c:v>
                </c:pt>
                <c:pt idx="13">
                  <c:v>1071.875139600181</c:v>
                </c:pt>
                <c:pt idx="14">
                  <c:v>1050.5427195789905</c:v>
                </c:pt>
                <c:pt idx="15">
                  <c:v>1018.9454880278897</c:v>
                </c:pt>
                <c:pt idx="16">
                  <c:v>998.25340519709471</c:v>
                </c:pt>
                <c:pt idx="17">
                  <c:v>1002.6521007382449</c:v>
                </c:pt>
                <c:pt idx="18">
                  <c:v>1010.016678525853</c:v>
                </c:pt>
                <c:pt idx="19">
                  <c:v>1012.3337474422843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Preferred!$E$5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Preferred!$C$6:$C$25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Preferred!$E$6:$E$25</c:f>
              <c:numCache>
                <c:formatCode>0.00</c:formatCode>
                <c:ptCount val="20"/>
                <c:pt idx="0">
                  <c:v>970.27527860693726</c:v>
                </c:pt>
                <c:pt idx="1">
                  <c:v>955.13190397211702</c:v>
                </c:pt>
                <c:pt idx="2">
                  <c:v>996.83567185688719</c:v>
                </c:pt>
                <c:pt idx="3">
                  <c:v>973.93411887139666</c:v>
                </c:pt>
                <c:pt idx="4">
                  <c:v>1004.7548547816078</c:v>
                </c:pt>
                <c:pt idx="5">
                  <c:v>1016.9027593135314</c:v>
                </c:pt>
                <c:pt idx="6">
                  <c:v>1047.1630525284002</c:v>
                </c:pt>
                <c:pt idx="7">
                  <c:v>1068.961026274296</c:v>
                </c:pt>
                <c:pt idx="8">
                  <c:v>1074.7582233425735</c:v>
                </c:pt>
                <c:pt idx="9">
                  <c:v>1072.2624456870844</c:v>
                </c:pt>
                <c:pt idx="10">
                  <c:v>1088.4792530167817</c:v>
                </c:pt>
                <c:pt idx="11">
                  <c:v>1078.596221874601</c:v>
                </c:pt>
                <c:pt idx="12">
                  <c:v>1084.3596813306283</c:v>
                </c:pt>
                <c:pt idx="13">
                  <c:v>1046.5968655188883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54784"/>
        <c:axId val="128056320"/>
      </c:lineChart>
      <c:catAx>
        <c:axId val="12805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128056320"/>
        <c:crosses val="autoZero"/>
        <c:auto val="1"/>
        <c:lblAlgn val="ctr"/>
        <c:lblOffset val="100"/>
        <c:noMultiLvlLbl val="0"/>
      </c:catAx>
      <c:valAx>
        <c:axId val="1280563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8054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Preferred!$F$5</c:f>
              <c:strCache>
                <c:ptCount val="1"/>
                <c:pt idx="0">
                  <c:v>LV6</c:v>
                </c:pt>
              </c:strCache>
            </c:strRef>
          </c:tx>
          <c:marker>
            <c:symbol val="none"/>
          </c:marker>
          <c:cat>
            <c:numRef>
              <c:f>Preferred!$C$6:$C$25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Preferred!$F$6:$F$25</c:f>
              <c:numCache>
                <c:formatCode>0.00</c:formatCode>
                <c:ptCount val="20"/>
                <c:pt idx="0">
                  <c:v>1026.264326943673</c:v>
                </c:pt>
                <c:pt idx="1">
                  <c:v>1043.307576056706</c:v>
                </c:pt>
                <c:pt idx="2">
                  <c:v>1067.4256352258678</c:v>
                </c:pt>
                <c:pt idx="3">
                  <c:v>1123.7750497410141</c:v>
                </c:pt>
                <c:pt idx="4">
                  <c:v>1153.2557852681168</c:v>
                </c:pt>
                <c:pt idx="5">
                  <c:v>1185.2717988884369</c:v>
                </c:pt>
                <c:pt idx="6">
                  <c:v>1211.6628388305717</c:v>
                </c:pt>
                <c:pt idx="7">
                  <c:v>1303.1332895465418</c:v>
                </c:pt>
                <c:pt idx="8">
                  <c:v>1319.2567788718904</c:v>
                </c:pt>
                <c:pt idx="9">
                  <c:v>1310.4823127950513</c:v>
                </c:pt>
                <c:pt idx="10">
                  <c:v>1304.2614560358488</c:v>
                </c:pt>
                <c:pt idx="11">
                  <c:v>1341.4922189194037</c:v>
                </c:pt>
                <c:pt idx="12">
                  <c:v>1352.7096368416094</c:v>
                </c:pt>
                <c:pt idx="13">
                  <c:v>1345.8198957059112</c:v>
                </c:pt>
                <c:pt idx="14">
                  <c:v>1321.5236154580823</c:v>
                </c:pt>
                <c:pt idx="15">
                  <c:v>1304.4680916071982</c:v>
                </c:pt>
                <c:pt idx="16">
                  <c:v>1308.1608799751075</c:v>
                </c:pt>
                <c:pt idx="17">
                  <c:v>1338.8216045905995</c:v>
                </c:pt>
                <c:pt idx="18">
                  <c:v>1358.4413477051455</c:v>
                </c:pt>
                <c:pt idx="19">
                  <c:v>1369.8537138504701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Preferred!$G$5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Preferred!$C$6:$C$25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Preferred!$G$6:$G$19</c:f>
              <c:numCache>
                <c:formatCode>0.00</c:formatCode>
                <c:ptCount val="14"/>
                <c:pt idx="0">
                  <c:v>1020.8273650194518</c:v>
                </c:pt>
                <c:pt idx="1">
                  <c:v>1062.3428463362388</c:v>
                </c:pt>
                <c:pt idx="2">
                  <c:v>1085.9069698231676</c:v>
                </c:pt>
                <c:pt idx="3">
                  <c:v>1104.5769949033972</c:v>
                </c:pt>
                <c:pt idx="4">
                  <c:v>1135.1914404429542</c:v>
                </c:pt>
                <c:pt idx="5">
                  <c:v>1168.8501989857325</c:v>
                </c:pt>
                <c:pt idx="6">
                  <c:v>1216.7413414022037</c:v>
                </c:pt>
                <c:pt idx="7">
                  <c:v>1286.8947761818106</c:v>
                </c:pt>
                <c:pt idx="8">
                  <c:v>1326.3490674136829</c:v>
                </c:pt>
                <c:pt idx="9">
                  <c:v>1321.3395877341979</c:v>
                </c:pt>
                <c:pt idx="10">
                  <c:v>1316.8026006290791</c:v>
                </c:pt>
                <c:pt idx="11">
                  <c:v>1339.0014861402212</c:v>
                </c:pt>
                <c:pt idx="12">
                  <c:v>1373.4564213329013</c:v>
                </c:pt>
                <c:pt idx="13">
                  <c:v>1330.8952983384631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53952"/>
        <c:axId val="126655488"/>
      </c:lineChart>
      <c:catAx>
        <c:axId val="1266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126655488"/>
        <c:crosses val="autoZero"/>
        <c:auto val="1"/>
        <c:lblAlgn val="ctr"/>
        <c:lblOffset val="100"/>
        <c:noMultiLvlLbl val="0"/>
      </c:catAx>
      <c:valAx>
        <c:axId val="126655488"/>
        <c:scaling>
          <c:orientation val="minMax"/>
          <c:max val="1600"/>
          <c:min val="1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665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Preferred!$H$5</c:f>
              <c:strCache>
                <c:ptCount val="1"/>
                <c:pt idx="0">
                  <c:v>HV6</c:v>
                </c:pt>
              </c:strCache>
            </c:strRef>
          </c:tx>
          <c:marker>
            <c:symbol val="none"/>
          </c:marker>
          <c:cat>
            <c:numRef>
              <c:f>Preferred!$C$6:$C$25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Preferred!$H$6:$H$25</c:f>
              <c:numCache>
                <c:formatCode>0.00</c:formatCode>
                <c:ptCount val="20"/>
                <c:pt idx="0">
                  <c:v>315.19973224847746</c:v>
                </c:pt>
                <c:pt idx="1">
                  <c:v>317.42486659209374</c:v>
                </c:pt>
                <c:pt idx="2">
                  <c:v>325.45776213796836</c:v>
                </c:pt>
                <c:pt idx="3">
                  <c:v>336.4739881404833</c:v>
                </c:pt>
                <c:pt idx="4">
                  <c:v>341.54906184201047</c:v>
                </c:pt>
                <c:pt idx="5">
                  <c:v>347.01932541631686</c:v>
                </c:pt>
                <c:pt idx="6">
                  <c:v>351.40859981599567</c:v>
                </c:pt>
                <c:pt idx="7">
                  <c:v>367.80023645292584</c:v>
                </c:pt>
                <c:pt idx="8">
                  <c:v>368.68051240457004</c:v>
                </c:pt>
                <c:pt idx="9">
                  <c:v>371.0078325312403</c:v>
                </c:pt>
                <c:pt idx="10">
                  <c:v>372.53821984204097</c:v>
                </c:pt>
                <c:pt idx="11">
                  <c:v>375.73934257565111</c:v>
                </c:pt>
                <c:pt idx="12">
                  <c:v>377.66141597732394</c:v>
                </c:pt>
                <c:pt idx="13">
                  <c:v>379.63951709694379</c:v>
                </c:pt>
                <c:pt idx="14">
                  <c:v>375.62076924741268</c:v>
                </c:pt>
                <c:pt idx="15">
                  <c:v>370.31579628278291</c:v>
                </c:pt>
                <c:pt idx="16">
                  <c:v>366.9115846997006</c:v>
                </c:pt>
                <c:pt idx="17">
                  <c:v>369.19430476852273</c:v>
                </c:pt>
                <c:pt idx="18">
                  <c:v>372.52967836786803</c:v>
                </c:pt>
                <c:pt idx="19">
                  <c:v>374.30094246686406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Preferred!$J$5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Preferred!$C$6:$C$25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Preferred!$J$6:$J$19</c:f>
              <c:numCache>
                <c:formatCode>_(* #,##0.00_);_(* \(#,##0.00\);_(* "-"??_);_(@_)</c:formatCode>
                <c:ptCount val="14"/>
                <c:pt idx="0">
                  <c:v>317.72938399999998</c:v>
                </c:pt>
                <c:pt idx="1">
                  <c:v>317.11404900000002</c:v>
                </c:pt>
                <c:pt idx="2">
                  <c:v>323.40459900000002</c:v>
                </c:pt>
                <c:pt idx="3">
                  <c:v>332.39192450000002</c:v>
                </c:pt>
                <c:pt idx="4">
                  <c:v>340.65742999999998</c:v>
                </c:pt>
                <c:pt idx="5">
                  <c:v>342.477487</c:v>
                </c:pt>
                <c:pt idx="6">
                  <c:v>354.91126500000001</c:v>
                </c:pt>
                <c:pt idx="7">
                  <c:v>370.28824600000002</c:v>
                </c:pt>
                <c:pt idx="8">
                  <c:v>363.42587600000002</c:v>
                </c:pt>
                <c:pt idx="9">
                  <c:v>379.83771899999999</c:v>
                </c:pt>
                <c:pt idx="10">
                  <c:v>386.75098700000001</c:v>
                </c:pt>
                <c:pt idx="11">
                  <c:v>385.44911300000001</c:v>
                </c:pt>
                <c:pt idx="12">
                  <c:v>365.139568</c:v>
                </c:pt>
                <c:pt idx="13">
                  <c:v>369.24822956342547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139648"/>
        <c:axId val="128141184"/>
      </c:lineChart>
      <c:catAx>
        <c:axId val="1281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128141184"/>
        <c:crosses val="autoZero"/>
        <c:auto val="1"/>
        <c:lblAlgn val="ctr"/>
        <c:lblOffset val="100"/>
        <c:noMultiLvlLbl val="0"/>
      </c:catAx>
      <c:valAx>
        <c:axId val="128141184"/>
        <c:scaling>
          <c:orientation val="minMax"/>
          <c:max val="400"/>
          <c:min val="3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8139648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1"/>
          <c:tx>
            <c:strRef>
              <c:f>'All Sectors'!$F$5</c:f>
              <c:strCache>
                <c:ptCount val="1"/>
                <c:pt idx="0">
                  <c:v>Residential GP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cat>
            <c:numRef>
              <c:f>'All Sectors'!$E$6:$E$25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'All Sectors'!$F$6:$F$25</c:f>
              <c:numCache>
                <c:formatCode>0</c:formatCode>
                <c:ptCount val="20"/>
                <c:pt idx="0">
                  <c:v>964.56726418188998</c:v>
                </c:pt>
                <c:pt idx="1">
                  <c:v>978.39444016640869</c:v>
                </c:pt>
                <c:pt idx="2">
                  <c:v>980.70025212303494</c:v>
                </c:pt>
                <c:pt idx="3">
                  <c:v>1002.3719719005716</c:v>
                </c:pt>
                <c:pt idx="4">
                  <c:v>989.76846272151442</c:v>
                </c:pt>
                <c:pt idx="5">
                  <c:v>1016.6016021072735</c:v>
                </c:pt>
                <c:pt idx="6">
                  <c:v>1034.0534408606279</c:v>
                </c:pt>
                <c:pt idx="7">
                  <c:v>1077.8766308086488</c:v>
                </c:pt>
                <c:pt idx="8">
                  <c:v>1074.547473814883</c:v>
                </c:pt>
                <c:pt idx="9">
                  <c:v>1073.9946794387215</c:v>
                </c:pt>
                <c:pt idx="10">
                  <c:v>1067.618567570204</c:v>
                </c:pt>
                <c:pt idx="11">
                  <c:v>1077.6831680669768</c:v>
                </c:pt>
                <c:pt idx="12">
                  <c:v>1071.3172070660698</c:v>
                </c:pt>
                <c:pt idx="13">
                  <c:v>1071.875139600181</c:v>
                </c:pt>
                <c:pt idx="14">
                  <c:v>1050.5427195789905</c:v>
                </c:pt>
                <c:pt idx="15">
                  <c:v>1018.9454880278897</c:v>
                </c:pt>
                <c:pt idx="16">
                  <c:v>998.25340519709471</c:v>
                </c:pt>
                <c:pt idx="17">
                  <c:v>1002.6521007382449</c:v>
                </c:pt>
                <c:pt idx="18">
                  <c:v>1010.016678525853</c:v>
                </c:pt>
                <c:pt idx="19">
                  <c:v>1012.3337474422843</c:v>
                </c:pt>
              </c:numCache>
            </c:numRef>
          </c:val>
        </c:ser>
        <c:ser>
          <c:idx val="1"/>
          <c:order val="2"/>
          <c:tx>
            <c:strRef>
              <c:f>'All Sectors'!$G$5</c:f>
              <c:strCache>
                <c:ptCount val="1"/>
                <c:pt idx="0">
                  <c:v>Residential OP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cat>
            <c:numRef>
              <c:f>'All Sectors'!$E$6:$E$25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'All Sectors'!$G$6:$G$25</c:f>
              <c:numCache>
                <c:formatCode>0</c:formatCode>
                <c:ptCount val="20"/>
                <c:pt idx="0">
                  <c:v>139.61247494009672</c:v>
                </c:pt>
                <c:pt idx="1">
                  <c:v>143.86604009882763</c:v>
                </c:pt>
                <c:pt idx="2">
                  <c:v>143.62648675545364</c:v>
                </c:pt>
                <c:pt idx="3">
                  <c:v>138.74161207494112</c:v>
                </c:pt>
                <c:pt idx="4">
                  <c:v>136.45281599592983</c:v>
                </c:pt>
                <c:pt idx="5">
                  <c:v>132.32890416566389</c:v>
                </c:pt>
                <c:pt idx="6">
                  <c:v>132.07815015184732</c:v>
                </c:pt>
                <c:pt idx="7">
                  <c:v>115.62527443214292</c:v>
                </c:pt>
                <c:pt idx="8">
                  <c:v>122.23967630937322</c:v>
                </c:pt>
                <c:pt idx="9">
                  <c:v>117.27630905319751</c:v>
                </c:pt>
                <c:pt idx="10">
                  <c:v>112.31294179702364</c:v>
                </c:pt>
                <c:pt idx="11">
                  <c:v>107.34957454084791</c:v>
                </c:pt>
                <c:pt idx="12">
                  <c:v>102.38620728467218</c:v>
                </c:pt>
                <c:pt idx="13">
                  <c:v>97.422840028498328</c:v>
                </c:pt>
                <c:pt idx="14">
                  <c:v>92.459472772322599</c:v>
                </c:pt>
                <c:pt idx="15">
                  <c:v>87.496105516146869</c:v>
                </c:pt>
                <c:pt idx="16">
                  <c:v>82.532738259973002</c:v>
                </c:pt>
                <c:pt idx="17">
                  <c:v>77.569371003797272</c:v>
                </c:pt>
                <c:pt idx="18">
                  <c:v>72.606003747623419</c:v>
                </c:pt>
                <c:pt idx="19">
                  <c:v>67.642636491447689</c:v>
                </c:pt>
              </c:numCache>
            </c:numRef>
          </c:val>
        </c:ser>
        <c:ser>
          <c:idx val="2"/>
          <c:order val="3"/>
          <c:tx>
            <c:strRef>
              <c:f>'All Sectors'!$H$5</c:f>
              <c:strCache>
                <c:ptCount val="1"/>
                <c:pt idx="0">
                  <c:v>LV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cat>
            <c:numRef>
              <c:f>'All Sectors'!$E$6:$E$25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'All Sectors'!$H$6:$H$25</c:f>
              <c:numCache>
                <c:formatCode>0</c:formatCode>
                <c:ptCount val="20"/>
                <c:pt idx="0">
                  <c:v>1026.264326943673</c:v>
                </c:pt>
                <c:pt idx="1">
                  <c:v>1043.307576056706</c:v>
                </c:pt>
                <c:pt idx="2">
                  <c:v>1067.4256352258678</c:v>
                </c:pt>
                <c:pt idx="3">
                  <c:v>1123.7750497410141</c:v>
                </c:pt>
                <c:pt idx="4">
                  <c:v>1153.2557852681168</c:v>
                </c:pt>
                <c:pt idx="5">
                  <c:v>1185.2717988884369</c:v>
                </c:pt>
                <c:pt idx="6">
                  <c:v>1211.6628388305717</c:v>
                </c:pt>
                <c:pt idx="7">
                  <c:v>1303.1332895465418</c:v>
                </c:pt>
                <c:pt idx="8">
                  <c:v>1319.2567788718904</c:v>
                </c:pt>
                <c:pt idx="9">
                  <c:v>1310.4823127950513</c:v>
                </c:pt>
                <c:pt idx="10">
                  <c:v>1304.2614560358488</c:v>
                </c:pt>
                <c:pt idx="11">
                  <c:v>1341.4922189194037</c:v>
                </c:pt>
                <c:pt idx="12">
                  <c:v>1352.7096368416094</c:v>
                </c:pt>
                <c:pt idx="13">
                  <c:v>1345.8198957059112</c:v>
                </c:pt>
                <c:pt idx="14">
                  <c:v>1321.5236154580823</c:v>
                </c:pt>
                <c:pt idx="15">
                  <c:v>1304.4680916071982</c:v>
                </c:pt>
                <c:pt idx="16">
                  <c:v>1308.1608799751075</c:v>
                </c:pt>
                <c:pt idx="17">
                  <c:v>1338.8216045905995</c:v>
                </c:pt>
                <c:pt idx="18">
                  <c:v>1358.4413477051455</c:v>
                </c:pt>
                <c:pt idx="19">
                  <c:v>1369.8537138504701</c:v>
                </c:pt>
              </c:numCache>
            </c:numRef>
          </c:val>
        </c:ser>
        <c:ser>
          <c:idx val="3"/>
          <c:order val="4"/>
          <c:tx>
            <c:strRef>
              <c:f>'All Sectors'!$I$5</c:f>
              <c:strCache>
                <c:ptCount val="1"/>
                <c:pt idx="0">
                  <c:v>HV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cat>
            <c:numRef>
              <c:f>'All Sectors'!$E$6:$E$25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'All Sectors'!$I$6:$I$25</c:f>
              <c:numCache>
                <c:formatCode>0</c:formatCode>
                <c:ptCount val="20"/>
                <c:pt idx="0">
                  <c:v>315.19973224847746</c:v>
                </c:pt>
                <c:pt idx="1">
                  <c:v>317.42486659209374</c:v>
                </c:pt>
                <c:pt idx="2">
                  <c:v>325.45776213796836</c:v>
                </c:pt>
                <c:pt idx="3">
                  <c:v>336.4739881404833</c:v>
                </c:pt>
                <c:pt idx="4">
                  <c:v>341.54906184201047</c:v>
                </c:pt>
                <c:pt idx="5">
                  <c:v>347.01932541631686</c:v>
                </c:pt>
                <c:pt idx="6">
                  <c:v>351.40859981599567</c:v>
                </c:pt>
                <c:pt idx="7">
                  <c:v>367.80023645292584</c:v>
                </c:pt>
                <c:pt idx="8">
                  <c:v>368.68051240457004</c:v>
                </c:pt>
                <c:pt idx="9">
                  <c:v>371.0078325312403</c:v>
                </c:pt>
                <c:pt idx="10">
                  <c:v>372.53821984204097</c:v>
                </c:pt>
                <c:pt idx="11">
                  <c:v>375.73934257565111</c:v>
                </c:pt>
                <c:pt idx="12">
                  <c:v>377.66141597732394</c:v>
                </c:pt>
                <c:pt idx="13">
                  <c:v>379.63951709694379</c:v>
                </c:pt>
                <c:pt idx="14">
                  <c:v>375.62076924741268</c:v>
                </c:pt>
                <c:pt idx="15">
                  <c:v>370.31579628278291</c:v>
                </c:pt>
                <c:pt idx="16">
                  <c:v>366.9115846997006</c:v>
                </c:pt>
                <c:pt idx="17">
                  <c:v>369.19430476852273</c:v>
                </c:pt>
                <c:pt idx="18">
                  <c:v>372.52967836786803</c:v>
                </c:pt>
                <c:pt idx="19">
                  <c:v>374.30094246686406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96512"/>
        <c:axId val="128106880"/>
      </c:areaChart>
      <c:lineChart>
        <c:grouping val="standard"/>
        <c:varyColors val="0"/>
        <c:ser>
          <c:idx val="4"/>
          <c:order val="0"/>
          <c:tx>
            <c:strRef>
              <c:f>'All Sectors'!$K$5</c:f>
              <c:strCache>
                <c:ptCount val="1"/>
                <c:pt idx="0">
                  <c:v>Weather Normalised Actual</c:v>
                </c:pt>
              </c:strCache>
            </c:strRef>
          </c:tx>
          <c:spPr>
            <a:ln cmpd="sng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'All Sectors'!$E$6:$E$25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'All Sectors'!$K$6:$K$20</c:f>
              <c:numCache>
                <c:formatCode>0</c:formatCode>
                <c:ptCount val="15"/>
                <c:pt idx="0">
                  <c:v>2448.4445025664863</c:v>
                </c:pt>
                <c:pt idx="1">
                  <c:v>2478.4548394071835</c:v>
                </c:pt>
                <c:pt idx="2">
                  <c:v>2549.7737274355086</c:v>
                </c:pt>
                <c:pt idx="3">
                  <c:v>2549.6446503497355</c:v>
                </c:pt>
                <c:pt idx="4">
                  <c:v>2617.0565412204924</c:v>
                </c:pt>
                <c:pt idx="5">
                  <c:v>2660.5593494649279</c:v>
                </c:pt>
                <c:pt idx="6">
                  <c:v>2750.8938090824513</c:v>
                </c:pt>
                <c:pt idx="7">
                  <c:v>2841.7693228882495</c:v>
                </c:pt>
                <c:pt idx="8">
                  <c:v>2886.3511061790791</c:v>
                </c:pt>
                <c:pt idx="9">
                  <c:v>2891.5825334640804</c:v>
                </c:pt>
                <c:pt idx="10">
                  <c:v>2904.6709148496848</c:v>
                </c:pt>
                <c:pt idx="11">
                  <c:v>2908.6979792521915</c:v>
                </c:pt>
                <c:pt idx="12">
                  <c:v>2926.4061098091229</c:v>
                </c:pt>
                <c:pt idx="13">
                  <c:v>2844.0275503819871</c:v>
                </c:pt>
                <c:pt idx="14">
                  <c:v>2831.7699117270695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96512"/>
        <c:axId val="128106880"/>
      </c:lineChart>
      <c:catAx>
        <c:axId val="12809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Fin year ending 30 June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8106880"/>
        <c:crosses val="autoZero"/>
        <c:auto val="1"/>
        <c:lblAlgn val="ctr"/>
        <c:lblOffset val="100"/>
        <c:noMultiLvlLbl val="0"/>
      </c:catAx>
      <c:valAx>
        <c:axId val="128106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2809651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OP!$E$5</c:f>
              <c:strCache>
                <c:ptCount val="1"/>
                <c:pt idx="0">
                  <c:v>Time 08</c:v>
                </c:pt>
              </c:strCache>
            </c:strRef>
          </c:tx>
          <c:marker>
            <c:symbol val="none"/>
          </c:marker>
          <c:cat>
            <c:numRef>
              <c:f>OP!$D$15:$D$26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OP!$E$15:$E$26</c:f>
              <c:numCache>
                <c:formatCode>#,##0.0</c:formatCode>
                <c:ptCount val="12"/>
                <c:pt idx="0">
                  <c:v>122.23967630937322</c:v>
                </c:pt>
                <c:pt idx="1">
                  <c:v>117.27630905319751</c:v>
                </c:pt>
                <c:pt idx="2">
                  <c:v>112.31294179702364</c:v>
                </c:pt>
                <c:pt idx="3">
                  <c:v>107.34957454084791</c:v>
                </c:pt>
                <c:pt idx="4">
                  <c:v>102.38620728467218</c:v>
                </c:pt>
                <c:pt idx="5">
                  <c:v>97.422840028498328</c:v>
                </c:pt>
                <c:pt idx="6">
                  <c:v>92.459472772322599</c:v>
                </c:pt>
                <c:pt idx="7">
                  <c:v>87.496105516146869</c:v>
                </c:pt>
                <c:pt idx="8">
                  <c:v>82.532738259973002</c:v>
                </c:pt>
                <c:pt idx="9">
                  <c:v>77.569371003797272</c:v>
                </c:pt>
                <c:pt idx="10">
                  <c:v>72.606003747623419</c:v>
                </c:pt>
                <c:pt idx="11">
                  <c:v>67.642636491447689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OP!$F$5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OP!$D$15:$D$26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OP!$F$15:$F$26</c:f>
              <c:numCache>
                <c:formatCode>#,##0.0</c:formatCode>
                <c:ptCount val="12"/>
                <c:pt idx="0">
                  <c:v>121.81793942282226</c:v>
                </c:pt>
                <c:pt idx="1">
                  <c:v>118.14278104279742</c:v>
                </c:pt>
                <c:pt idx="2">
                  <c:v>112.63807420382403</c:v>
                </c:pt>
                <c:pt idx="3">
                  <c:v>105.65115823736916</c:v>
                </c:pt>
                <c:pt idx="4">
                  <c:v>103.45043914559308</c:v>
                </c:pt>
                <c:pt idx="5">
                  <c:v>97.287156961210314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11648"/>
        <c:axId val="124013184"/>
      </c:lineChart>
      <c:catAx>
        <c:axId val="12401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013184"/>
        <c:crosses val="autoZero"/>
        <c:auto val="1"/>
        <c:lblAlgn val="ctr"/>
        <c:lblOffset val="100"/>
        <c:noMultiLvlLbl val="0"/>
      </c:catAx>
      <c:valAx>
        <c:axId val="124013184"/>
        <c:scaling>
          <c:orientation val="minMax"/>
          <c:max val="130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24011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57</xdr:row>
      <xdr:rowOff>80962</xdr:rowOff>
    </xdr:from>
    <xdr:to>
      <xdr:col>16</xdr:col>
      <xdr:colOff>0</xdr:colOff>
      <xdr:row>72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82</xdr:row>
      <xdr:rowOff>0</xdr:rowOff>
    </xdr:from>
    <xdr:to>
      <xdr:col>16</xdr:col>
      <xdr:colOff>0</xdr:colOff>
      <xdr:row>97</xdr:row>
      <xdr:rowOff>90488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5</xdr:row>
      <xdr:rowOff>0</xdr:rowOff>
    </xdr:from>
    <xdr:to>
      <xdr:col>24</xdr:col>
      <xdr:colOff>304800</xdr:colOff>
      <xdr:row>21</xdr:row>
      <xdr:rowOff>4763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23</xdr:row>
      <xdr:rowOff>0</xdr:rowOff>
    </xdr:from>
    <xdr:to>
      <xdr:col>24</xdr:col>
      <xdr:colOff>285750</xdr:colOff>
      <xdr:row>37</xdr:row>
      <xdr:rowOff>171450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41</xdr:row>
      <xdr:rowOff>0</xdr:rowOff>
    </xdr:from>
    <xdr:to>
      <xdr:col>24</xdr:col>
      <xdr:colOff>285750</xdr:colOff>
      <xdr:row>55</xdr:row>
      <xdr:rowOff>171450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5</xdr:row>
      <xdr:rowOff>28575</xdr:rowOff>
    </xdr:from>
    <xdr:to>
      <xdr:col>21</xdr:col>
      <xdr:colOff>457200</xdr:colOff>
      <xdr:row>21</xdr:row>
      <xdr:rowOff>157164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4</xdr:row>
      <xdr:rowOff>90487</xdr:rowOff>
    </xdr:from>
    <xdr:to>
      <xdr:col>16</xdr:col>
      <xdr:colOff>171450</xdr:colOff>
      <xdr:row>18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17c%20Raw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17b%20Regression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SP-SFD"/>
      <sheetName val="CPI"/>
      <sheetName val="Exchange rate"/>
      <sheetName val="Interest Rate"/>
      <sheetName val="population"/>
      <sheetName val="Households"/>
      <sheetName val="employment"/>
      <sheetName val="Sales"/>
      <sheetName val="Elec Customer"/>
      <sheetName val="Retail Prices"/>
      <sheetName val="Efficiency"/>
      <sheetName val="HHDispIncome"/>
      <sheetName val="HHGrossIncome"/>
      <sheetName val="GSP per Capita"/>
      <sheetName val="PV"/>
      <sheetName val="Embeded Gen"/>
    </sheetNames>
    <sheetDataSet>
      <sheetData sheetId="0">
        <row r="14">
          <cell r="E14">
            <v>28556</v>
          </cell>
        </row>
        <row r="15">
          <cell r="E15">
            <v>29080</v>
          </cell>
        </row>
        <row r="16">
          <cell r="E16">
            <v>30804</v>
          </cell>
        </row>
        <row r="17">
          <cell r="E17">
            <v>33324</v>
          </cell>
        </row>
        <row r="18">
          <cell r="E18">
            <v>34629</v>
          </cell>
        </row>
        <row r="19">
          <cell r="E19">
            <v>36188</v>
          </cell>
        </row>
        <row r="20">
          <cell r="E20">
            <v>37575</v>
          </cell>
        </row>
        <row r="21">
          <cell r="E21">
            <v>41946</v>
          </cell>
        </row>
        <row r="22">
          <cell r="E22">
            <v>42875</v>
          </cell>
        </row>
        <row r="23">
          <cell r="E23">
            <v>44196</v>
          </cell>
        </row>
        <row r="24">
          <cell r="E24">
            <v>45335</v>
          </cell>
        </row>
        <row r="25">
          <cell r="E25">
            <v>46953</v>
          </cell>
        </row>
        <row r="26">
          <cell r="E26">
            <v>48652</v>
          </cell>
        </row>
        <row r="27">
          <cell r="E27">
            <v>50412.47852107427</v>
          </cell>
        </row>
      </sheetData>
      <sheetData sheetId="1"/>
      <sheetData sheetId="2"/>
      <sheetData sheetId="3">
        <row r="23">
          <cell r="I23">
            <v>5.2210260256935447E-2</v>
          </cell>
          <cell r="K23">
            <v>6</v>
          </cell>
        </row>
        <row r="24">
          <cell r="I24">
            <v>5.8283450446493933E-2</v>
          </cell>
          <cell r="K24">
            <v>5</v>
          </cell>
        </row>
        <row r="25">
          <cell r="I25">
            <v>4.5201992753623195E-2</v>
          </cell>
          <cell r="K25">
            <v>4.7236842105263159</v>
          </cell>
        </row>
        <row r="26">
          <cell r="I26">
            <v>4.7500000000000001E-2</v>
          </cell>
          <cell r="K26">
            <v>4.75</v>
          </cell>
        </row>
        <row r="27">
          <cell r="I27">
            <v>5.0584325396825398E-2</v>
          </cell>
          <cell r="K27">
            <v>5.25</v>
          </cell>
        </row>
        <row r="28">
          <cell r="I28">
            <v>5.3323412698412703E-2</v>
          </cell>
          <cell r="K28">
            <v>5.5</v>
          </cell>
        </row>
        <row r="29">
          <cell r="I29">
            <v>5.5398550724637681E-2</v>
          </cell>
          <cell r="K29">
            <v>5.75</v>
          </cell>
        </row>
        <row r="30">
          <cell r="I30">
            <v>6.1401926877470363E-2</v>
          </cell>
          <cell r="K30">
            <v>6.25</v>
          </cell>
        </row>
        <row r="31">
          <cell r="I31">
            <v>6.8204212144191464E-2</v>
          </cell>
          <cell r="K31">
            <v>7.2499874160159168</v>
          </cell>
        </row>
        <row r="32">
          <cell r="I32">
            <v>4.7739667253865227E-2</v>
          </cell>
          <cell r="K32">
            <v>3.0000620694498248</v>
          </cell>
        </row>
        <row r="33">
          <cell r="I33">
            <v>3.6752976190476197E-2</v>
          </cell>
          <cell r="K33">
            <v>4.5</v>
          </cell>
        </row>
        <row r="34">
          <cell r="I34">
            <v>4.6647916666666664E-2</v>
          </cell>
          <cell r="K34">
            <v>4.75</v>
          </cell>
        </row>
        <row r="35">
          <cell r="I35">
            <v>4.3435416666666671E-2</v>
          </cell>
          <cell r="K35">
            <v>3.5375000000000001</v>
          </cell>
        </row>
        <row r="36">
          <cell r="I36">
            <v>3.1337499999999997E-2</v>
          </cell>
          <cell r="K36">
            <v>2.75</v>
          </cell>
        </row>
      </sheetData>
      <sheetData sheetId="4">
        <row r="10">
          <cell r="M10">
            <v>316057.5</v>
          </cell>
        </row>
        <row r="11">
          <cell r="M11">
            <v>319771</v>
          </cell>
        </row>
        <row r="12">
          <cell r="M12">
            <v>323407.5</v>
          </cell>
        </row>
        <row r="13">
          <cell r="M13">
            <v>326411.25</v>
          </cell>
        </row>
        <row r="14">
          <cell r="M14">
            <v>328120.75</v>
          </cell>
        </row>
        <row r="15">
          <cell r="M15">
            <v>330236</v>
          </cell>
        </row>
        <row r="16">
          <cell r="M16">
            <v>333787.75</v>
          </cell>
        </row>
        <row r="17">
          <cell r="M17">
            <v>339529</v>
          </cell>
        </row>
        <row r="18">
          <cell r="M18">
            <v>345590.5</v>
          </cell>
        </row>
        <row r="19">
          <cell r="M19">
            <v>352195</v>
          </cell>
        </row>
        <row r="20">
          <cell r="M20">
            <v>359074</v>
          </cell>
        </row>
        <row r="21">
          <cell r="M21">
            <v>365598.25</v>
          </cell>
        </row>
        <row r="22">
          <cell r="M22">
            <v>372346</v>
          </cell>
        </row>
        <row r="23">
          <cell r="M23">
            <v>379446.33333333331</v>
          </cell>
        </row>
      </sheetData>
      <sheetData sheetId="5"/>
      <sheetData sheetId="6">
        <row r="6">
          <cell r="I6">
            <v>125.42395846666666</v>
          </cell>
        </row>
        <row r="7">
          <cell r="I7">
            <v>127.51934010000001</v>
          </cell>
        </row>
        <row r="8">
          <cell r="I8">
            <v>127.88048285000001</v>
          </cell>
        </row>
        <row r="9">
          <cell r="I9">
            <v>131.43272031666666</v>
          </cell>
        </row>
        <row r="10">
          <cell r="I10">
            <v>129.93960422500001</v>
          </cell>
        </row>
        <row r="11">
          <cell r="I11">
            <v>135.04077445000001</v>
          </cell>
        </row>
        <row r="12">
          <cell r="I12">
            <v>138.74801571666669</v>
          </cell>
        </row>
        <row r="13">
          <cell r="I13">
            <v>146.50868898333334</v>
          </cell>
        </row>
        <row r="14">
          <cell r="I14">
            <v>147.55766788333332</v>
          </cell>
        </row>
        <row r="15">
          <cell r="I15">
            <v>149.00682477500001</v>
          </cell>
        </row>
        <row r="16">
          <cell r="I16">
            <v>149.59783708333333</v>
          </cell>
        </row>
        <row r="17">
          <cell r="I17">
            <v>152.85619632500001</v>
          </cell>
        </row>
        <row r="18">
          <cell r="I18">
            <v>153.63107069166668</v>
          </cell>
        </row>
        <row r="19">
          <cell r="I19">
            <v>155.52568510833336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Residential Population"/>
      <sheetName val="Residential per Person"/>
      <sheetName val="Residential HH"/>
      <sheetName val="LV"/>
      <sheetName val="LV Linear"/>
      <sheetName val="LV Forecasts Linear"/>
      <sheetName val="HV"/>
      <sheetName val="HV Linear"/>
      <sheetName val="HV lagged price"/>
      <sheetName val="HV LV Combine with HV Price"/>
      <sheetName val="HV LV Combine with LV Price"/>
    </sheetNames>
    <sheetDataSet>
      <sheetData sheetId="0">
        <row r="6">
          <cell r="AM6">
            <v>396.83905133295895</v>
          </cell>
        </row>
        <row r="7">
          <cell r="AM7">
            <v>398.78331712381674</v>
          </cell>
        </row>
        <row r="8">
          <cell r="AM8">
            <v>395.41594690908528</v>
          </cell>
        </row>
        <row r="9">
          <cell r="AM9">
            <v>402.65989703684136</v>
          </cell>
        </row>
        <row r="10">
          <cell r="AM10">
            <v>396.01154216854621</v>
          </cell>
        </row>
        <row r="11">
          <cell r="AM11">
            <v>408.92202682324165</v>
          </cell>
        </row>
        <row r="12">
          <cell r="AM12">
            <v>415.6773749685741</v>
          </cell>
        </row>
        <row r="13">
          <cell r="AM13">
            <v>431.50567104233619</v>
          </cell>
        </row>
        <row r="14">
          <cell r="AM14">
            <v>426.9725813740057</v>
          </cell>
        </row>
        <row r="15">
          <cell r="AM15">
            <v>423.08046614801464</v>
          </cell>
        </row>
        <row r="16">
          <cell r="AM16">
            <v>416.62118973619175</v>
          </cell>
        </row>
        <row r="17">
          <cell r="AM17">
            <v>418.098818375088</v>
          </cell>
        </row>
        <row r="18">
          <cell r="AM18">
            <v>412.60298403008676</v>
          </cell>
        </row>
        <row r="19">
          <cell r="AM19">
            <v>409.87531422976821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153"/>
  <sheetViews>
    <sheetView workbookViewId="0">
      <selection activeCell="C28" sqref="C28"/>
    </sheetView>
  </sheetViews>
  <sheetFormatPr defaultRowHeight="15" x14ac:dyDescent="0.25"/>
  <cols>
    <col min="5" max="5" width="7.5703125" customWidth="1"/>
  </cols>
  <sheetData>
    <row r="4" spans="3:16" x14ac:dyDescent="0.25">
      <c r="D4" s="18" t="s">
        <v>39</v>
      </c>
      <c r="E4" s="18"/>
      <c r="F4" t="s">
        <v>29</v>
      </c>
      <c r="H4" s="18" t="s">
        <v>30</v>
      </c>
      <c r="I4" s="18"/>
      <c r="J4" s="18"/>
      <c r="M4" t="s">
        <v>3</v>
      </c>
      <c r="N4" t="s">
        <v>24</v>
      </c>
    </row>
    <row r="5" spans="3:16" x14ac:dyDescent="0.25">
      <c r="D5" s="18" t="s">
        <v>16</v>
      </c>
      <c r="E5" s="18" t="s">
        <v>28</v>
      </c>
      <c r="F5" t="s">
        <v>21</v>
      </c>
      <c r="G5" t="s">
        <v>28</v>
      </c>
      <c r="H5" s="18" t="s">
        <v>23</v>
      </c>
      <c r="I5" s="18"/>
      <c r="J5" s="18" t="s">
        <v>28</v>
      </c>
    </row>
    <row r="6" spans="3:16" x14ac:dyDescent="0.25">
      <c r="C6">
        <v>2000</v>
      </c>
      <c r="D6" s="2">
        <f>'Residential Per Pers'!BR6</f>
        <v>964.56726418188998</v>
      </c>
      <c r="E6" s="2">
        <v>970.27527860693726</v>
      </c>
      <c r="F6" s="2">
        <f>LV!AS6</f>
        <v>1026.264326943673</v>
      </c>
      <c r="G6" s="2">
        <f>LV!C6</f>
        <v>1020.8273650194518</v>
      </c>
      <c r="H6" s="2">
        <f>HV!AP6</f>
        <v>315.19973224847746</v>
      </c>
      <c r="I6" s="2"/>
      <c r="J6" s="1">
        <f>HV!C6</f>
        <v>317.72938399999998</v>
      </c>
      <c r="K6" s="2"/>
      <c r="M6" t="s">
        <v>16</v>
      </c>
      <c r="N6" t="s">
        <v>13</v>
      </c>
      <c r="O6" t="s">
        <v>25</v>
      </c>
      <c r="P6" t="s">
        <v>10</v>
      </c>
    </row>
    <row r="7" spans="3:16" x14ac:dyDescent="0.25">
      <c r="C7">
        <f t="shared" ref="C7:C19" si="0">C6+1</f>
        <v>2001</v>
      </c>
      <c r="D7" s="2">
        <f>'Residential Per Pers'!BR7</f>
        <v>978.39444016640869</v>
      </c>
      <c r="E7" s="2">
        <v>955.13190397211702</v>
      </c>
      <c r="F7" s="2">
        <f>LV!AS7</f>
        <v>1043.307576056706</v>
      </c>
      <c r="G7" s="2">
        <f>LV!C7</f>
        <v>1062.3428463362388</v>
      </c>
      <c r="H7" s="2">
        <f>HV!AP7</f>
        <v>317.42486659209374</v>
      </c>
      <c r="I7" s="2"/>
      <c r="J7" s="1">
        <f>HV!C7</f>
        <v>317.11404900000002</v>
      </c>
      <c r="K7" s="2"/>
    </row>
    <row r="8" spans="3:16" x14ac:dyDescent="0.25">
      <c r="C8">
        <f t="shared" si="0"/>
        <v>2002</v>
      </c>
      <c r="D8" s="2">
        <f>'Residential Per Pers'!BR8</f>
        <v>980.70025212303494</v>
      </c>
      <c r="E8" s="2">
        <v>996.83567185688719</v>
      </c>
      <c r="F8" s="2">
        <f>LV!AS8</f>
        <v>1067.4256352258678</v>
      </c>
      <c r="G8" s="2">
        <f>LV!C8</f>
        <v>1085.9069698231676</v>
      </c>
      <c r="H8" s="2">
        <f>HV!AP8</f>
        <v>325.45776213796836</v>
      </c>
      <c r="I8" s="2"/>
      <c r="J8" s="1">
        <f>HV!C8</f>
        <v>323.40459900000002</v>
      </c>
      <c r="K8" s="2"/>
    </row>
    <row r="9" spans="3:16" x14ac:dyDescent="0.25">
      <c r="C9">
        <f t="shared" si="0"/>
        <v>2003</v>
      </c>
      <c r="D9" s="2">
        <f>'Residential Per Pers'!BR9</f>
        <v>1002.3719719005716</v>
      </c>
      <c r="E9" s="2">
        <v>973.93411887139666</v>
      </c>
      <c r="F9" s="2">
        <f>LV!AS9</f>
        <v>1123.7750497410141</v>
      </c>
      <c r="G9" s="2">
        <f>LV!C9</f>
        <v>1104.5769949033972</v>
      </c>
      <c r="H9" s="2">
        <f>HV!AP9</f>
        <v>336.4739881404833</v>
      </c>
      <c r="I9" s="2"/>
      <c r="J9" s="1">
        <f>HV!C9</f>
        <v>332.39192450000002</v>
      </c>
      <c r="K9" s="2"/>
    </row>
    <row r="10" spans="3:16" x14ac:dyDescent="0.25">
      <c r="C10">
        <f t="shared" si="0"/>
        <v>2004</v>
      </c>
      <c r="D10" s="2">
        <f>'Residential Per Pers'!BR10</f>
        <v>989.76846272151442</v>
      </c>
      <c r="E10" s="2">
        <v>1004.7548547816078</v>
      </c>
      <c r="F10" s="2">
        <f>LV!AS10</f>
        <v>1153.2557852681168</v>
      </c>
      <c r="G10" s="2">
        <f>LV!C10</f>
        <v>1135.1914404429542</v>
      </c>
      <c r="H10" s="2">
        <f>HV!AP10</f>
        <v>341.54906184201047</v>
      </c>
      <c r="I10" s="2"/>
      <c r="J10" s="1">
        <f>HV!C10</f>
        <v>340.65742999999998</v>
      </c>
      <c r="K10" s="2"/>
    </row>
    <row r="11" spans="3:16" x14ac:dyDescent="0.25">
      <c r="C11">
        <f t="shared" si="0"/>
        <v>2005</v>
      </c>
      <c r="D11" s="2">
        <f>'Residential Per Pers'!BR11</f>
        <v>1016.6016021072735</v>
      </c>
      <c r="E11" s="2">
        <v>1016.9027593135314</v>
      </c>
      <c r="F11" s="2">
        <f>LV!AS11</f>
        <v>1185.2717988884369</v>
      </c>
      <c r="G11" s="2">
        <f>LV!C11</f>
        <v>1168.8501989857325</v>
      </c>
      <c r="H11" s="2">
        <f>HV!AP11</f>
        <v>347.01932541631686</v>
      </c>
      <c r="I11" s="2"/>
      <c r="J11" s="1">
        <f>HV!C11</f>
        <v>342.477487</v>
      </c>
      <c r="K11" s="2"/>
    </row>
    <row r="12" spans="3:16" x14ac:dyDescent="0.25">
      <c r="C12">
        <f t="shared" si="0"/>
        <v>2006</v>
      </c>
      <c r="D12" s="2">
        <f>'Residential Per Pers'!BR12</f>
        <v>1034.0534408606279</v>
      </c>
      <c r="E12" s="2">
        <v>1047.1630525284002</v>
      </c>
      <c r="F12" s="2">
        <f>LV!AS12</f>
        <v>1211.6628388305717</v>
      </c>
      <c r="G12" s="2">
        <f>LV!C12</f>
        <v>1216.7413414022037</v>
      </c>
      <c r="H12" s="2">
        <f>HV!AP12</f>
        <v>351.40859981599567</v>
      </c>
      <c r="I12" s="2"/>
      <c r="J12" s="1">
        <f>HV!C12</f>
        <v>354.91126500000001</v>
      </c>
      <c r="K12" s="2"/>
    </row>
    <row r="13" spans="3:16" x14ac:dyDescent="0.25">
      <c r="C13">
        <f t="shared" si="0"/>
        <v>2007</v>
      </c>
      <c r="D13" s="2">
        <f>'Residential Per Pers'!BR13</f>
        <v>1077.8766308086488</v>
      </c>
      <c r="E13" s="2">
        <v>1068.961026274296</v>
      </c>
      <c r="F13" s="2">
        <f>LV!AS13</f>
        <v>1303.1332895465418</v>
      </c>
      <c r="G13" s="2">
        <f>LV!C13</f>
        <v>1286.8947761818106</v>
      </c>
      <c r="H13" s="2">
        <f>HV!AP13</f>
        <v>367.80023645292584</v>
      </c>
      <c r="I13" s="2"/>
      <c r="J13" s="1">
        <f>HV!C13</f>
        <v>370.28824600000002</v>
      </c>
      <c r="K13" s="2"/>
    </row>
    <row r="14" spans="3:16" x14ac:dyDescent="0.25">
      <c r="C14">
        <f t="shared" si="0"/>
        <v>2008</v>
      </c>
      <c r="D14" s="2">
        <f>'Residential Per Pers'!BR14</f>
        <v>1074.547473814883</v>
      </c>
      <c r="E14" s="2">
        <v>1074.7582233425735</v>
      </c>
      <c r="F14" s="2">
        <f>LV!AS14</f>
        <v>1319.2567788718904</v>
      </c>
      <c r="G14" s="2">
        <f>LV!C14</f>
        <v>1326.3490674136829</v>
      </c>
      <c r="H14" s="2">
        <f>HV!AP14</f>
        <v>368.68051240457004</v>
      </c>
      <c r="I14" s="2"/>
      <c r="J14" s="1">
        <f>HV!C14</f>
        <v>363.42587600000002</v>
      </c>
      <c r="K14" s="2"/>
    </row>
    <row r="15" spans="3:16" x14ac:dyDescent="0.25">
      <c r="C15">
        <f t="shared" si="0"/>
        <v>2009</v>
      </c>
      <c r="D15" s="2">
        <f>'Residential Per Pers'!BR15</f>
        <v>1073.9946794387215</v>
      </c>
      <c r="E15" s="2">
        <v>1072.2624456870844</v>
      </c>
      <c r="F15" s="2">
        <f>LV!AS15</f>
        <v>1310.4823127950513</v>
      </c>
      <c r="G15" s="2">
        <f>LV!C15</f>
        <v>1321.3395877341979</v>
      </c>
      <c r="H15" s="2">
        <f>HV!AP15</f>
        <v>371.0078325312403</v>
      </c>
      <c r="I15" s="2"/>
      <c r="J15" s="1">
        <f>HV!C15</f>
        <v>379.83771899999999</v>
      </c>
      <c r="K15" s="2"/>
    </row>
    <row r="16" spans="3:16" x14ac:dyDescent="0.25">
      <c r="C16">
        <f t="shared" si="0"/>
        <v>2010</v>
      </c>
      <c r="D16" s="2">
        <f>'Residential Per Pers'!BR16</f>
        <v>1067.618567570204</v>
      </c>
      <c r="E16" s="2">
        <v>1088.4792530167817</v>
      </c>
      <c r="F16" s="2">
        <f>LV!AS16</f>
        <v>1304.2614560358488</v>
      </c>
      <c r="G16" s="2">
        <f>LV!C16</f>
        <v>1316.8026006290791</v>
      </c>
      <c r="H16" s="2">
        <f>HV!AP16</f>
        <v>372.53821984204097</v>
      </c>
      <c r="I16" s="2"/>
      <c r="J16" s="1">
        <f>HV!C16</f>
        <v>386.75098700000001</v>
      </c>
      <c r="K16" s="2"/>
    </row>
    <row r="17" spans="2:16" x14ac:dyDescent="0.25">
      <c r="C17">
        <f t="shared" si="0"/>
        <v>2011</v>
      </c>
      <c r="D17" s="2">
        <f>'Residential Per Pers'!BR17</f>
        <v>1077.6831680669768</v>
      </c>
      <c r="E17" s="2">
        <v>1078.596221874601</v>
      </c>
      <c r="F17" s="2">
        <f>LV!AS17</f>
        <v>1341.4922189194037</v>
      </c>
      <c r="G17" s="2">
        <f>LV!C17</f>
        <v>1339.0014861402212</v>
      </c>
      <c r="H17" s="2">
        <f>HV!AP17</f>
        <v>375.73934257565111</v>
      </c>
      <c r="I17" s="2"/>
      <c r="J17" s="1">
        <f>HV!C17</f>
        <v>385.44911300000001</v>
      </c>
      <c r="K17" s="2"/>
    </row>
    <row r="18" spans="2:16" x14ac:dyDescent="0.25">
      <c r="C18">
        <f t="shared" si="0"/>
        <v>2012</v>
      </c>
      <c r="D18" s="2">
        <f>'Residential Per Pers'!BR18</f>
        <v>1071.3172070660698</v>
      </c>
      <c r="E18" s="2">
        <v>1084.3596813306283</v>
      </c>
      <c r="F18" s="2">
        <f>LV!AS18</f>
        <v>1352.7096368416094</v>
      </c>
      <c r="G18" s="2">
        <f>LV!C18</f>
        <v>1373.4564213329013</v>
      </c>
      <c r="H18" s="2">
        <f>HV!AP18</f>
        <v>377.66141597732394</v>
      </c>
      <c r="I18" s="2"/>
      <c r="J18" s="1">
        <f>HV!C18</f>
        <v>365.139568</v>
      </c>
      <c r="K18" s="2"/>
    </row>
    <row r="19" spans="2:16" x14ac:dyDescent="0.25">
      <c r="C19">
        <f t="shared" si="0"/>
        <v>2013</v>
      </c>
      <c r="D19" s="2">
        <f>'Residential Per Pers'!BR19</f>
        <v>1071.875139600181</v>
      </c>
      <c r="E19" s="2">
        <v>1046.5968655188883</v>
      </c>
      <c r="F19" s="2">
        <f>LV!AS19</f>
        <v>1345.8198957059112</v>
      </c>
      <c r="G19" s="2">
        <f>LV!C19</f>
        <v>1330.8952983384631</v>
      </c>
      <c r="H19" s="2">
        <f>HV!AP19</f>
        <v>379.63951709694379</v>
      </c>
      <c r="I19" s="2"/>
      <c r="J19" s="1">
        <f>HV!C19</f>
        <v>369.24822956342547</v>
      </c>
      <c r="K19" s="2"/>
    </row>
    <row r="20" spans="2:16" x14ac:dyDescent="0.25">
      <c r="C20" s="4">
        <f t="shared" ref="C20:C25" si="1">C19+1</f>
        <v>2014</v>
      </c>
      <c r="D20" s="13">
        <f>'Residential Per Pers'!BR20</f>
        <v>1050.5427195789905</v>
      </c>
      <c r="E20" s="13"/>
      <c r="F20" s="13">
        <f>LV!AS20</f>
        <v>1321.5236154580823</v>
      </c>
      <c r="G20" s="13"/>
      <c r="H20" s="13">
        <f>HV!AP20</f>
        <v>375.62076924741268</v>
      </c>
      <c r="I20" s="13"/>
      <c r="K20" s="13"/>
    </row>
    <row r="21" spans="2:16" x14ac:dyDescent="0.25">
      <c r="C21" s="4">
        <f t="shared" si="1"/>
        <v>2015</v>
      </c>
      <c r="D21" s="13">
        <f>'Residential Per Pers'!BR21</f>
        <v>1018.9454880278897</v>
      </c>
      <c r="E21" s="13"/>
      <c r="F21" s="13">
        <f>LV!AS21</f>
        <v>1304.4680916071982</v>
      </c>
      <c r="G21" s="13"/>
      <c r="H21" s="13">
        <f>HV!AP21</f>
        <v>370.31579628278291</v>
      </c>
      <c r="I21" s="13"/>
      <c r="K21" s="13"/>
    </row>
    <row r="22" spans="2:16" x14ac:dyDescent="0.25">
      <c r="C22" s="4">
        <f t="shared" si="1"/>
        <v>2016</v>
      </c>
      <c r="D22" s="13">
        <f>'Residential Per Pers'!BR22</f>
        <v>998.25340519709471</v>
      </c>
      <c r="E22" s="13"/>
      <c r="F22" s="13">
        <f>LV!AS22</f>
        <v>1308.1608799751075</v>
      </c>
      <c r="G22" s="13"/>
      <c r="H22" s="13">
        <f>HV!AP22</f>
        <v>366.9115846997006</v>
      </c>
      <c r="I22" s="13"/>
      <c r="K22" s="13"/>
    </row>
    <row r="23" spans="2:16" x14ac:dyDescent="0.25">
      <c r="C23" s="4">
        <f t="shared" si="1"/>
        <v>2017</v>
      </c>
      <c r="D23" s="13">
        <f>'Residential Per Pers'!BR23</f>
        <v>1002.6521007382449</v>
      </c>
      <c r="E23" s="13"/>
      <c r="F23" s="13">
        <f>LV!AS23</f>
        <v>1338.8216045905995</v>
      </c>
      <c r="G23" s="13"/>
      <c r="H23" s="13">
        <f>HV!AP23</f>
        <v>369.19430476852273</v>
      </c>
      <c r="I23" s="13"/>
      <c r="K23" s="13"/>
    </row>
    <row r="24" spans="2:16" x14ac:dyDescent="0.25">
      <c r="C24" s="4">
        <f t="shared" si="1"/>
        <v>2018</v>
      </c>
      <c r="D24" s="13">
        <f>'Residential Per Pers'!BR24</f>
        <v>1010.016678525853</v>
      </c>
      <c r="E24" s="13"/>
      <c r="F24" s="13">
        <f>LV!AS24</f>
        <v>1358.4413477051455</v>
      </c>
      <c r="G24" s="13"/>
      <c r="H24" s="13">
        <f>HV!AP24</f>
        <v>372.52967836786803</v>
      </c>
      <c r="I24" s="13"/>
      <c r="K24" s="13"/>
    </row>
    <row r="25" spans="2:16" x14ac:dyDescent="0.25">
      <c r="C25" s="4">
        <f t="shared" si="1"/>
        <v>2019</v>
      </c>
      <c r="D25" s="13">
        <f>'Residential Per Pers'!BR25</f>
        <v>1012.3337474422843</v>
      </c>
      <c r="E25" s="13"/>
      <c r="F25" s="13">
        <f>LV!AS25</f>
        <v>1369.8537138504701</v>
      </c>
      <c r="G25" s="13"/>
      <c r="H25" s="13">
        <f>HV!AP25</f>
        <v>374.30094246686406</v>
      </c>
      <c r="I25" s="13"/>
      <c r="K25" s="13"/>
      <c r="M25" t="s">
        <v>21</v>
      </c>
      <c r="N25" t="s">
        <v>13</v>
      </c>
      <c r="O25" t="s">
        <v>20</v>
      </c>
      <c r="P25" t="s">
        <v>15</v>
      </c>
    </row>
    <row r="30" spans="2:16" x14ac:dyDescent="0.25">
      <c r="B30" s="19"/>
      <c r="D30" s="2"/>
      <c r="E30" s="2"/>
      <c r="F30" s="2"/>
      <c r="G30" s="2"/>
      <c r="H30" s="2"/>
      <c r="I30" s="2"/>
      <c r="J30" s="2"/>
      <c r="K30" s="2"/>
    </row>
    <row r="31" spans="2:16" x14ac:dyDescent="0.25">
      <c r="B31" s="19"/>
      <c r="D31" s="2"/>
      <c r="E31" s="2"/>
      <c r="F31" s="2"/>
      <c r="G31" s="2"/>
      <c r="H31" s="2"/>
      <c r="I31" s="2"/>
      <c r="J31" s="2"/>
      <c r="K31" s="2"/>
    </row>
    <row r="32" spans="2:16" x14ac:dyDescent="0.25">
      <c r="D32" s="2"/>
      <c r="E32" s="2"/>
      <c r="F32" s="2"/>
      <c r="G32" s="2"/>
      <c r="H32" s="2"/>
      <c r="I32" s="2"/>
      <c r="J32" s="2"/>
      <c r="K32" s="2"/>
    </row>
    <row r="33" spans="3:15" x14ac:dyDescent="0.25">
      <c r="D33" s="8"/>
      <c r="E33" s="8"/>
      <c r="F33" s="8"/>
      <c r="G33" s="8"/>
      <c r="H33" s="8"/>
      <c r="J33" s="8"/>
      <c r="K33" s="8"/>
    </row>
    <row r="36" spans="3:15" x14ac:dyDescent="0.25">
      <c r="C36" s="26"/>
      <c r="D36" s="26"/>
      <c r="E36" s="26"/>
      <c r="F36" s="26"/>
      <c r="G36" s="26"/>
      <c r="H36" s="26"/>
      <c r="I36" s="26"/>
      <c r="J36" s="26"/>
      <c r="K36" s="26"/>
    </row>
    <row r="37" spans="3:15" x14ac:dyDescent="0.25">
      <c r="C37" s="26"/>
      <c r="D37" s="26"/>
      <c r="E37" s="26"/>
      <c r="F37" s="26"/>
      <c r="G37" s="26"/>
      <c r="H37" s="26"/>
      <c r="I37" s="26"/>
      <c r="J37" s="26"/>
      <c r="K37" s="26"/>
    </row>
    <row r="38" spans="3:15" x14ac:dyDescent="0.25">
      <c r="C38" s="26"/>
      <c r="D38" s="26"/>
      <c r="E38" s="26"/>
      <c r="F38" s="26"/>
      <c r="G38" s="26"/>
      <c r="H38" s="26"/>
      <c r="I38" s="26"/>
      <c r="J38" s="26"/>
      <c r="K38" s="26"/>
    </row>
    <row r="39" spans="3:15" x14ac:dyDescent="0.25">
      <c r="C39" s="26"/>
      <c r="D39" s="27"/>
      <c r="E39" s="27"/>
      <c r="F39" s="27"/>
      <c r="G39" s="27"/>
      <c r="H39" s="27"/>
      <c r="I39" s="26"/>
      <c r="J39" s="26"/>
      <c r="K39" s="27"/>
    </row>
    <row r="40" spans="3:15" x14ac:dyDescent="0.25">
      <c r="C40" s="26"/>
      <c r="D40" s="27"/>
      <c r="E40" s="27"/>
      <c r="F40" s="27"/>
      <c r="G40" s="27"/>
      <c r="H40" s="27"/>
      <c r="I40" s="26"/>
      <c r="J40" s="26"/>
      <c r="K40" s="27"/>
    </row>
    <row r="41" spans="3:15" x14ac:dyDescent="0.25">
      <c r="D41" s="2"/>
      <c r="E41" s="2"/>
      <c r="F41" s="2"/>
      <c r="G41" s="2"/>
      <c r="H41" s="2"/>
      <c r="K41" s="2"/>
    </row>
    <row r="42" spans="3:15" x14ac:dyDescent="0.25">
      <c r="D42" s="2"/>
      <c r="E42" s="2"/>
      <c r="F42" s="2"/>
      <c r="G42" s="2"/>
      <c r="H42" s="2"/>
      <c r="K42" s="2"/>
    </row>
    <row r="43" spans="3:15" x14ac:dyDescent="0.25">
      <c r="D43" s="2"/>
      <c r="E43" s="2"/>
      <c r="F43" s="2"/>
      <c r="G43" s="2"/>
      <c r="H43" s="2"/>
      <c r="K43" s="2"/>
      <c r="M43" t="s">
        <v>23</v>
      </c>
      <c r="N43" t="s">
        <v>13</v>
      </c>
      <c r="O43" t="s">
        <v>20</v>
      </c>
    </row>
    <row r="44" spans="3:15" x14ac:dyDescent="0.25">
      <c r="D44" s="2"/>
      <c r="E44" s="2"/>
      <c r="F44" s="2"/>
      <c r="G44" s="2"/>
      <c r="H44" s="2"/>
      <c r="K44" s="2"/>
    </row>
    <row r="45" spans="3:15" x14ac:dyDescent="0.25">
      <c r="D45" s="2"/>
      <c r="E45" s="2"/>
      <c r="F45" s="2"/>
      <c r="G45" s="2"/>
      <c r="H45" s="2"/>
      <c r="K45" s="2"/>
    </row>
    <row r="46" spans="3:15" x14ac:dyDescent="0.25">
      <c r="D46" s="2"/>
      <c r="E46" s="2"/>
      <c r="F46" s="2"/>
      <c r="G46" s="2"/>
      <c r="H46" s="2"/>
      <c r="K46" s="2"/>
    </row>
    <row r="47" spans="3:15" x14ac:dyDescent="0.25">
      <c r="D47" s="2"/>
      <c r="E47" s="2"/>
      <c r="F47" s="2"/>
      <c r="G47" s="2"/>
      <c r="H47" s="2"/>
      <c r="K47" s="2"/>
    </row>
    <row r="48" spans="3:15" x14ac:dyDescent="0.25">
      <c r="D48" s="2"/>
      <c r="E48" s="2"/>
      <c r="F48" s="2"/>
      <c r="G48" s="2"/>
      <c r="H48" s="2"/>
      <c r="K48" s="2"/>
    </row>
    <row r="49" spans="2:11" x14ac:dyDescent="0.25">
      <c r="D49" s="2"/>
      <c r="E49" s="2"/>
      <c r="F49" s="2"/>
      <c r="G49" s="2"/>
      <c r="H49" s="2"/>
      <c r="K49" s="2"/>
    </row>
    <row r="50" spans="2:11" x14ac:dyDescent="0.25">
      <c r="D50" s="2"/>
      <c r="E50" s="2"/>
      <c r="F50" s="2"/>
      <c r="G50" s="2"/>
      <c r="H50" s="2"/>
      <c r="K50" s="2"/>
    </row>
    <row r="51" spans="2:11" x14ac:dyDescent="0.25">
      <c r="D51" s="2"/>
      <c r="E51" s="2"/>
      <c r="F51" s="2"/>
      <c r="G51" s="2"/>
      <c r="H51" s="2"/>
      <c r="K51" s="2"/>
    </row>
    <row r="52" spans="2:11" x14ac:dyDescent="0.25">
      <c r="D52" s="2"/>
      <c r="E52" s="2"/>
      <c r="F52" s="2"/>
      <c r="G52" s="2"/>
      <c r="H52" s="2"/>
      <c r="K52" s="2"/>
    </row>
    <row r="53" spans="2:11" x14ac:dyDescent="0.25">
      <c r="C53" s="4"/>
      <c r="D53" s="13"/>
      <c r="E53" s="13"/>
      <c r="F53" s="13"/>
      <c r="G53" s="13"/>
      <c r="H53" s="13"/>
      <c r="I53" s="13"/>
      <c r="J53" s="4"/>
      <c r="K53" s="13"/>
    </row>
    <row r="54" spans="2:11" x14ac:dyDescent="0.25">
      <c r="C54" s="4"/>
      <c r="D54" s="13"/>
      <c r="E54" s="13"/>
      <c r="F54" s="13"/>
      <c r="G54" s="13"/>
      <c r="H54" s="13"/>
      <c r="I54" s="13"/>
      <c r="J54" s="4"/>
      <c r="K54" s="13"/>
    </row>
    <row r="55" spans="2:11" x14ac:dyDescent="0.25">
      <c r="C55" s="4"/>
      <c r="D55" s="13"/>
      <c r="E55" s="13"/>
      <c r="F55" s="13"/>
      <c r="G55" s="13"/>
      <c r="H55" s="13"/>
      <c r="I55" s="13"/>
      <c r="J55" s="4"/>
      <c r="K55" s="13"/>
    </row>
    <row r="56" spans="2:11" x14ac:dyDescent="0.25">
      <c r="C56" s="4"/>
      <c r="D56" s="13"/>
      <c r="E56" s="13"/>
      <c r="F56" s="13"/>
      <c r="G56" s="13"/>
      <c r="H56" s="13"/>
      <c r="I56" s="13"/>
      <c r="J56" s="4"/>
      <c r="K56" s="13"/>
    </row>
    <row r="58" spans="2:11" x14ac:dyDescent="0.25">
      <c r="D58" t="s">
        <v>16</v>
      </c>
    </row>
    <row r="59" spans="2:11" x14ac:dyDescent="0.25">
      <c r="D59" t="s">
        <v>8</v>
      </c>
      <c r="E59" t="s">
        <v>40</v>
      </c>
      <c r="F59" t="s">
        <v>44</v>
      </c>
      <c r="G59" t="s">
        <v>42</v>
      </c>
      <c r="H59" t="s">
        <v>43</v>
      </c>
      <c r="I59" t="s">
        <v>41</v>
      </c>
    </row>
    <row r="60" spans="2:11" x14ac:dyDescent="0.25">
      <c r="B60">
        <f t="shared" ref="B60:B78" si="2">+E60/D60</f>
        <v>9.8342988010238705E-3</v>
      </c>
      <c r="C60">
        <v>2000</v>
      </c>
      <c r="D60" s="3">
        <f>'Residential Per Pers'!AP6*'Residential Per Pers'!BD6/1000000</f>
        <v>974.14732000301626</v>
      </c>
      <c r="E60" s="3">
        <v>9.5800558211262796</v>
      </c>
      <c r="F60" s="3">
        <v>0</v>
      </c>
      <c r="G60" s="3">
        <v>0</v>
      </c>
      <c r="H60" s="3">
        <f>D60-SUM(E60:G60)</f>
        <v>964.56726418188998</v>
      </c>
      <c r="I60" s="3">
        <f t="shared" ref="I60:I79" si="3">D6</f>
        <v>964.56726418188998</v>
      </c>
      <c r="J60" s="3">
        <f>H60-I60</f>
        <v>0</v>
      </c>
    </row>
    <row r="61" spans="2:11" x14ac:dyDescent="0.25">
      <c r="B61">
        <f t="shared" si="2"/>
        <v>1.1472301050394778E-2</v>
      </c>
      <c r="C61">
        <f t="shared" ref="C61:C79" si="4">C60+1</f>
        <v>2001</v>
      </c>
      <c r="D61" s="3">
        <f>'Residential Per Pers'!AP7*'Residential Per Pers'!BD7/1000000</f>
        <v>989.74914026793181</v>
      </c>
      <c r="E61" s="3">
        <v>11.354700101523122</v>
      </c>
      <c r="F61" s="3">
        <v>0</v>
      </c>
      <c r="G61" s="3">
        <v>0</v>
      </c>
      <c r="H61" s="3">
        <f t="shared" ref="H61:H79" si="5">D61-SUM(E61:G61)</f>
        <v>978.39444016640869</v>
      </c>
      <c r="I61" s="3">
        <f t="shared" si="3"/>
        <v>978.39444016640869</v>
      </c>
      <c r="J61" s="3">
        <f t="shared" ref="J61:J79" si="6">H61-I61</f>
        <v>0</v>
      </c>
    </row>
    <row r="62" spans="2:11" x14ac:dyDescent="0.25">
      <c r="B62">
        <f t="shared" si="2"/>
        <v>1.3104892851388411E-2</v>
      </c>
      <c r="C62">
        <f t="shared" si="4"/>
        <v>2002</v>
      </c>
      <c r="D62" s="3">
        <f>'Residential Per Pers'!AP8*'Residential Per Pers'!BD8/1000000</f>
        <v>993.72288404238304</v>
      </c>
      <c r="E62" s="3">
        <v>13.0226319193481</v>
      </c>
      <c r="F62" s="3">
        <v>0</v>
      </c>
      <c r="G62" s="3">
        <v>0</v>
      </c>
      <c r="H62" s="3">
        <f t="shared" si="5"/>
        <v>980.70025212303494</v>
      </c>
      <c r="I62" s="3">
        <f t="shared" si="3"/>
        <v>980.70025212303494</v>
      </c>
      <c r="J62" s="3">
        <f t="shared" si="6"/>
        <v>0</v>
      </c>
    </row>
    <row r="63" spans="2:11" x14ac:dyDescent="0.25">
      <c r="B63">
        <f t="shared" si="2"/>
        <v>1.6078663506851394E-2</v>
      </c>
      <c r="C63">
        <f t="shared" si="4"/>
        <v>2003</v>
      </c>
      <c r="D63" s="3">
        <f>'Residential Per Pers'!AP9*'Residential Per Pers'!BD9/1000000</f>
        <v>1018.7521448342445</v>
      </c>
      <c r="E63" s="3">
        <v>16.380172933672952</v>
      </c>
      <c r="F63" s="3">
        <v>0</v>
      </c>
      <c r="G63" s="3">
        <v>0</v>
      </c>
      <c r="H63" s="3">
        <f t="shared" si="5"/>
        <v>1002.3719719005716</v>
      </c>
      <c r="I63" s="3">
        <f t="shared" si="3"/>
        <v>1002.3719719005716</v>
      </c>
      <c r="J63" s="3">
        <f t="shared" si="6"/>
        <v>0</v>
      </c>
    </row>
    <row r="64" spans="2:11" x14ac:dyDescent="0.25">
      <c r="B64">
        <f t="shared" si="2"/>
        <v>1.9557984057812925E-2</v>
      </c>
      <c r="C64">
        <f t="shared" si="4"/>
        <v>2004</v>
      </c>
      <c r="D64" s="3">
        <f>'Residential Per Pers'!AP10*'Residential Per Pers'!BD10/1000000</f>
        <v>1009.5124919451405</v>
      </c>
      <c r="E64" s="3">
        <v>19.744029223626058</v>
      </c>
      <c r="F64" s="3">
        <v>0</v>
      </c>
      <c r="G64" s="3">
        <v>0</v>
      </c>
      <c r="H64" s="3">
        <f t="shared" si="5"/>
        <v>989.76846272151442</v>
      </c>
      <c r="I64" s="3">
        <f t="shared" si="3"/>
        <v>989.76846272151442</v>
      </c>
      <c r="J64" s="3">
        <f t="shared" si="6"/>
        <v>0</v>
      </c>
    </row>
    <row r="65" spans="2:10" x14ac:dyDescent="0.25">
      <c r="B65">
        <f t="shared" si="2"/>
        <v>2.6687065407705213E-2</v>
      </c>
      <c r="C65">
        <f t="shared" si="4"/>
        <v>2005</v>
      </c>
      <c r="D65" s="3">
        <f>'Residential Per Pers'!AP11*'Residential Per Pers'!BD11/1000000</f>
        <v>1044.4755905079096</v>
      </c>
      <c r="E65" s="3">
        <v>27.873988400636108</v>
      </c>
      <c r="F65" s="3">
        <v>0</v>
      </c>
      <c r="G65" s="3">
        <v>0</v>
      </c>
      <c r="H65" s="3">
        <f t="shared" si="5"/>
        <v>1016.6016021072735</v>
      </c>
      <c r="I65" s="3">
        <f t="shared" si="3"/>
        <v>1016.6016021072735</v>
      </c>
      <c r="J65" s="3">
        <f t="shared" si="6"/>
        <v>0</v>
      </c>
    </row>
    <row r="66" spans="2:10" x14ac:dyDescent="0.25">
      <c r="B66">
        <f t="shared" si="2"/>
        <v>3.423378440747455E-2</v>
      </c>
      <c r="C66">
        <f t="shared" si="4"/>
        <v>2006</v>
      </c>
      <c r="D66" s="3">
        <f>'Residential Per Pers'!AP12*'Residential Per Pers'!BD12/1000000</f>
        <v>1070.7078215882777</v>
      </c>
      <c r="E66" s="3">
        <v>36.654380727649823</v>
      </c>
      <c r="F66" s="3">
        <v>0</v>
      </c>
      <c r="G66" s="3">
        <v>0</v>
      </c>
      <c r="H66" s="3">
        <f t="shared" si="5"/>
        <v>1034.0534408606279</v>
      </c>
      <c r="I66" s="3">
        <f t="shared" si="3"/>
        <v>1034.0534408606279</v>
      </c>
      <c r="J66" s="3">
        <f t="shared" si="6"/>
        <v>0</v>
      </c>
    </row>
    <row r="67" spans="2:10" x14ac:dyDescent="0.25">
      <c r="B67">
        <f t="shared" si="2"/>
        <v>4.1664374728787291E-2</v>
      </c>
      <c r="C67">
        <f t="shared" si="4"/>
        <v>2007</v>
      </c>
      <c r="D67" s="3">
        <f>'Residential Per Pers'!AP13*'Residential Per Pers'!BD13/1000000</f>
        <v>1124.7381422386395</v>
      </c>
      <c r="E67" s="3">
        <v>46.861511429990742</v>
      </c>
      <c r="F67" s="3">
        <v>0</v>
      </c>
      <c r="G67" s="3">
        <v>0</v>
      </c>
      <c r="H67" s="3">
        <f t="shared" si="5"/>
        <v>1077.8766308086488</v>
      </c>
      <c r="I67" s="3">
        <f t="shared" si="3"/>
        <v>1077.8766308086488</v>
      </c>
      <c r="J67" s="3">
        <f t="shared" si="6"/>
        <v>0</v>
      </c>
    </row>
    <row r="68" spans="2:10" x14ac:dyDescent="0.25">
      <c r="B68">
        <f t="shared" si="2"/>
        <v>5.2807587848874495E-2</v>
      </c>
      <c r="C68">
        <f t="shared" si="4"/>
        <v>2008</v>
      </c>
      <c r="D68" s="3">
        <f>'Residential Per Pers'!AP14*'Residential Per Pers'!BD14/1000000</f>
        <v>1134.4553229417529</v>
      </c>
      <c r="E68" s="3">
        <v>59.907849126869905</v>
      </c>
      <c r="F68" s="3">
        <v>0</v>
      </c>
      <c r="G68" s="3">
        <v>0</v>
      </c>
      <c r="H68" s="3">
        <f t="shared" si="5"/>
        <v>1074.547473814883</v>
      </c>
      <c r="I68" s="3">
        <f t="shared" si="3"/>
        <v>1074.547473814883</v>
      </c>
      <c r="J68" s="3">
        <f t="shared" si="6"/>
        <v>0</v>
      </c>
    </row>
    <row r="69" spans="2:10" x14ac:dyDescent="0.25">
      <c r="B69">
        <f t="shared" si="2"/>
        <v>6.3694640248948928E-2</v>
      </c>
      <c r="C69">
        <f t="shared" si="4"/>
        <v>2009</v>
      </c>
      <c r="D69" s="3">
        <f>'Residential Per Pers'!AP15*'Residential Per Pers'!BD15/1000000</f>
        <v>1147.0559986159642</v>
      </c>
      <c r="E69" s="3">
        <v>73.061319177242694</v>
      </c>
      <c r="F69" s="3">
        <v>0</v>
      </c>
      <c r="G69" s="3">
        <v>0</v>
      </c>
      <c r="H69" s="3">
        <f t="shared" si="5"/>
        <v>1073.9946794387215</v>
      </c>
      <c r="I69" s="3">
        <f t="shared" si="3"/>
        <v>1073.9946794387215</v>
      </c>
      <c r="J69" s="3">
        <f t="shared" si="6"/>
        <v>0</v>
      </c>
    </row>
    <row r="70" spans="2:10" x14ac:dyDescent="0.25">
      <c r="B70">
        <f t="shared" si="2"/>
        <v>7.4910971980658297E-2</v>
      </c>
      <c r="C70">
        <f t="shared" si="4"/>
        <v>2010</v>
      </c>
      <c r="D70" s="3">
        <f>'Residential Per Pers'!AP16*'Residential Per Pers'!BD16/1000000</f>
        <v>1154.0711598926048</v>
      </c>
      <c r="E70" s="3">
        <v>86.452592322400733</v>
      </c>
      <c r="F70" s="3">
        <v>0</v>
      </c>
      <c r="G70" s="3">
        <v>0</v>
      </c>
      <c r="H70" s="3">
        <f t="shared" si="5"/>
        <v>1067.618567570204</v>
      </c>
      <c r="I70" s="3">
        <f t="shared" si="3"/>
        <v>1067.618567570204</v>
      </c>
      <c r="J70" s="3">
        <f t="shared" si="6"/>
        <v>0</v>
      </c>
    </row>
    <row r="71" spans="2:10" x14ac:dyDescent="0.25">
      <c r="B71">
        <f t="shared" si="2"/>
        <v>8.5645686926171694E-2</v>
      </c>
      <c r="C71">
        <f t="shared" si="4"/>
        <v>2011</v>
      </c>
      <c r="D71" s="3">
        <f>'Residential Per Pers'!AP17*'Residential Per Pers'!BD17/1000000</f>
        <v>1178.6275327384612</v>
      </c>
      <c r="E71" s="3">
        <v>100.94436467148444</v>
      </c>
      <c r="F71" s="3">
        <v>0</v>
      </c>
      <c r="G71" s="3">
        <v>0</v>
      </c>
      <c r="H71" s="3">
        <f t="shared" si="5"/>
        <v>1077.6831680669768</v>
      </c>
      <c r="I71" s="3">
        <f t="shared" si="3"/>
        <v>1077.6831680669768</v>
      </c>
      <c r="J71" s="3">
        <f t="shared" si="6"/>
        <v>0</v>
      </c>
    </row>
    <row r="72" spans="2:10" x14ac:dyDescent="0.25">
      <c r="B72">
        <f t="shared" si="2"/>
        <v>9.7293319222144944E-2</v>
      </c>
      <c r="C72">
        <f t="shared" si="4"/>
        <v>2012</v>
      </c>
      <c r="D72" s="3">
        <f>'Residential Per Pers'!AP18*'Residential Per Pers'!BD18/1000000</f>
        <v>1186.7832928221208</v>
      </c>
      <c r="E72" s="3">
        <v>115.46608575605092</v>
      </c>
      <c r="F72" s="3">
        <v>0</v>
      </c>
      <c r="G72" s="3">
        <v>0</v>
      </c>
      <c r="H72" s="3">
        <f t="shared" si="5"/>
        <v>1071.3172070660698</v>
      </c>
      <c r="I72" s="3">
        <f t="shared" si="3"/>
        <v>1071.3172070660698</v>
      </c>
      <c r="J72" s="3">
        <f t="shared" si="6"/>
        <v>0</v>
      </c>
    </row>
    <row r="73" spans="2:10" x14ac:dyDescent="0.25">
      <c r="B73">
        <f t="shared" si="2"/>
        <v>0.10864793412483778</v>
      </c>
      <c r="C73">
        <f t="shared" si="4"/>
        <v>2013</v>
      </c>
      <c r="D73" s="3">
        <f>'Residential Per Pers'!AP19*'Residential Per Pers'!BD19/1000000</f>
        <v>1202.5272399495418</v>
      </c>
      <c r="E73" s="3">
        <v>130.65210034936081</v>
      </c>
      <c r="F73" s="3">
        <v>0</v>
      </c>
      <c r="G73" s="3">
        <v>0</v>
      </c>
      <c r="H73" s="3">
        <f t="shared" si="5"/>
        <v>1071.875139600181</v>
      </c>
      <c r="I73" s="3">
        <f t="shared" si="3"/>
        <v>1071.875139600181</v>
      </c>
      <c r="J73" s="3">
        <f t="shared" si="6"/>
        <v>0</v>
      </c>
    </row>
    <row r="74" spans="2:10" x14ac:dyDescent="0.25">
      <c r="B74">
        <f t="shared" si="2"/>
        <v>0.11892205341447956</v>
      </c>
      <c r="C74" s="4">
        <f t="shared" si="4"/>
        <v>2014</v>
      </c>
      <c r="D74" s="6">
        <f>'Residential Per Pers'!AP20*'Residential Per Pers'!BD20/1000000</f>
        <v>1206.0569698266497</v>
      </c>
      <c r="E74" s="6">
        <v>143.42677138663021</v>
      </c>
      <c r="F74" s="6">
        <v>9.8814370643824532</v>
      </c>
      <c r="G74" s="3">
        <v>0.63228018239580519</v>
      </c>
      <c r="H74" s="6">
        <f t="shared" si="5"/>
        <v>1052.1164811932413</v>
      </c>
      <c r="I74" s="3">
        <f t="shared" si="3"/>
        <v>1050.5427195789905</v>
      </c>
      <c r="J74" s="3">
        <f>H74-I74</f>
        <v>1.5737616142507704</v>
      </c>
    </row>
    <row r="75" spans="2:10" x14ac:dyDescent="0.25">
      <c r="B75">
        <f t="shared" si="2"/>
        <v>0.12917365239021131</v>
      </c>
      <c r="C75" s="4">
        <f t="shared" si="4"/>
        <v>2015</v>
      </c>
      <c r="D75" s="6">
        <f>'Residential Per Pers'!AP21*'Residential Per Pers'!BD21/1000000</f>
        <v>1202.9524875046964</v>
      </c>
      <c r="E75" s="6">
        <v>155.38976646287165</v>
      </c>
      <c r="F75" s="6">
        <v>22.464895898204077</v>
      </c>
      <c r="G75" s="3">
        <v>3.2333337877740695</v>
      </c>
      <c r="H75" s="6">
        <f t="shared" si="5"/>
        <v>1021.8644913558466</v>
      </c>
      <c r="I75" s="3">
        <f t="shared" si="3"/>
        <v>1018.9454880278897</v>
      </c>
      <c r="J75" s="3">
        <f t="shared" si="6"/>
        <v>2.9190033279568297</v>
      </c>
    </row>
    <row r="76" spans="2:10" x14ac:dyDescent="0.25">
      <c r="B76">
        <f t="shared" si="2"/>
        <v>0.1423362605430557</v>
      </c>
      <c r="C76" s="4">
        <f t="shared" si="4"/>
        <v>2016</v>
      </c>
      <c r="D76" s="6">
        <f>'Residential Per Pers'!AP22*'Residential Per Pers'!BD22/1000000</f>
        <v>1211.4234351016612</v>
      </c>
      <c r="E76" s="6">
        <v>172.42948168659359</v>
      </c>
      <c r="F76" s="6">
        <v>33.039293018298281</v>
      </c>
      <c r="G76" s="3">
        <v>5.9997860526651818</v>
      </c>
      <c r="H76" s="6">
        <f t="shared" si="5"/>
        <v>999.95487434410416</v>
      </c>
      <c r="I76" s="3">
        <f t="shared" si="3"/>
        <v>998.25340519709471</v>
      </c>
      <c r="J76" s="3">
        <f t="shared" si="6"/>
        <v>1.7014691470094476</v>
      </c>
    </row>
    <row r="77" spans="2:10" x14ac:dyDescent="0.25">
      <c r="B77">
        <f t="shared" si="2"/>
        <v>0.1543201519398959</v>
      </c>
      <c r="C77" s="4">
        <f t="shared" si="4"/>
        <v>2017</v>
      </c>
      <c r="D77" s="6">
        <f>'Residential Per Pers'!AP23*'Residential Per Pers'!BD23/1000000</f>
        <v>1241.8187831208118</v>
      </c>
      <c r="E77" s="6">
        <v>191.6376632930203</v>
      </c>
      <c r="F77" s="6">
        <v>36.645165950062164</v>
      </c>
      <c r="G77" s="3">
        <v>9.2907645975209103</v>
      </c>
      <c r="H77" s="6">
        <f t="shared" si="5"/>
        <v>1004.2451892802084</v>
      </c>
      <c r="I77" s="3">
        <f t="shared" si="3"/>
        <v>1002.6521007382449</v>
      </c>
      <c r="J77" s="3">
        <f t="shared" si="6"/>
        <v>1.5930885419634251</v>
      </c>
    </row>
    <row r="78" spans="2:10" x14ac:dyDescent="0.25">
      <c r="B78">
        <f t="shared" si="2"/>
        <v>0.16608448174016843</v>
      </c>
      <c r="C78" s="4">
        <f t="shared" si="4"/>
        <v>2018</v>
      </c>
      <c r="D78" s="6">
        <f>'Residential Per Pers'!AP24*'Residential Per Pers'!BD24/1000000</f>
        <v>1272.4677084963666</v>
      </c>
      <c r="E78" s="6">
        <v>211.33713989671878</v>
      </c>
      <c r="F78" s="6">
        <v>36.609972742304308</v>
      </c>
      <c r="G78" s="3">
        <v>13.205720919070538</v>
      </c>
      <c r="H78" s="6">
        <f t="shared" si="5"/>
        <v>1011.3148749382731</v>
      </c>
      <c r="I78" s="3">
        <f t="shared" si="3"/>
        <v>1010.016678525853</v>
      </c>
      <c r="J78" s="3">
        <f t="shared" si="6"/>
        <v>1.2981964124201113</v>
      </c>
    </row>
    <row r="79" spans="2:10" x14ac:dyDescent="0.25">
      <c r="B79">
        <f>+E79/D79</f>
        <v>0.1769609910303297</v>
      </c>
      <c r="C79" s="4">
        <f t="shared" si="4"/>
        <v>2019</v>
      </c>
      <c r="D79" s="6">
        <f>'Residential Per Pers'!AP25*'Residential Per Pers'!BD25/1000000</f>
        <v>1295.9471508174074</v>
      </c>
      <c r="E79" s="6">
        <v>229.33209213158057</v>
      </c>
      <c r="F79" s="6">
        <v>36.239235877841566</v>
      </c>
      <c r="G79" s="3">
        <v>16.184102575953037</v>
      </c>
      <c r="H79" s="6">
        <f t="shared" si="5"/>
        <v>1014.1917202320323</v>
      </c>
      <c r="I79" s="3">
        <f t="shared" si="3"/>
        <v>1012.3337474422843</v>
      </c>
      <c r="J79" s="3">
        <f t="shared" si="6"/>
        <v>1.8579727897479188</v>
      </c>
    </row>
    <row r="81" spans="2:9" x14ac:dyDescent="0.25">
      <c r="D81" t="s">
        <v>21</v>
      </c>
    </row>
    <row r="82" spans="2:9" x14ac:dyDescent="0.25">
      <c r="D82" t="s">
        <v>8</v>
      </c>
      <c r="E82" t="s">
        <v>40</v>
      </c>
      <c r="F82" t="s">
        <v>44</v>
      </c>
      <c r="G82" t="s">
        <v>43</v>
      </c>
      <c r="H82" t="s">
        <v>41</v>
      </c>
    </row>
    <row r="83" spans="2:9" x14ac:dyDescent="0.25">
      <c r="B83">
        <f>+E83/D83</f>
        <v>4.1685965724873042E-3</v>
      </c>
      <c r="C83">
        <f>C60</f>
        <v>2000</v>
      </c>
      <c r="D83" s="3">
        <f>LV!AM6</f>
        <v>1030.5603171494838</v>
      </c>
      <c r="E83" s="3">
        <v>4.2959902058107673</v>
      </c>
      <c r="F83" s="3">
        <v>0</v>
      </c>
      <c r="G83" s="3">
        <f>D83-E83-F83</f>
        <v>1026.264326943673</v>
      </c>
      <c r="H83" s="3">
        <f t="shared" ref="H83:H102" si="7">F6</f>
        <v>1026.264326943673</v>
      </c>
      <c r="I83" s="3">
        <f>H83-G83</f>
        <v>0</v>
      </c>
    </row>
    <row r="84" spans="2:9" x14ac:dyDescent="0.25">
      <c r="B84">
        <f t="shared" ref="B84:B102" si="8">+E84/D84</f>
        <v>5.4124069019753692E-3</v>
      </c>
      <c r="C84">
        <f t="shared" ref="C84:C102" si="9">C61</f>
        <v>2001</v>
      </c>
      <c r="D84" s="3">
        <f>LV!AM7</f>
        <v>1048.9851103078054</v>
      </c>
      <c r="E84" s="3">
        <v>5.6775342510993596</v>
      </c>
      <c r="F84" s="3">
        <v>0</v>
      </c>
      <c r="G84" s="3">
        <f t="shared" ref="G84:G102" si="10">D84-E84-F84</f>
        <v>1043.307576056706</v>
      </c>
      <c r="H84" s="3">
        <f t="shared" si="7"/>
        <v>1043.307576056706</v>
      </c>
      <c r="I84" s="3">
        <f t="shared" ref="I84:I102" si="11">H84-G84</f>
        <v>0</v>
      </c>
    </row>
    <row r="85" spans="2:9" x14ac:dyDescent="0.25">
      <c r="B85">
        <f t="shared" si="8"/>
        <v>6.6531140269820519E-3</v>
      </c>
      <c r="C85">
        <f t="shared" si="9"/>
        <v>2002</v>
      </c>
      <c r="D85" s="3">
        <f>LV!AM8</f>
        <v>1074.5749045966829</v>
      </c>
      <c r="E85" s="3">
        <v>7.149269370815091</v>
      </c>
      <c r="F85" s="3">
        <v>0</v>
      </c>
      <c r="G85" s="3">
        <f t="shared" si="10"/>
        <v>1067.4256352258678</v>
      </c>
      <c r="H85" s="3">
        <f t="shared" si="7"/>
        <v>1067.4256352258678</v>
      </c>
      <c r="I85" s="3">
        <f t="shared" si="11"/>
        <v>0</v>
      </c>
    </row>
    <row r="86" spans="2:9" x14ac:dyDescent="0.25">
      <c r="B86">
        <f t="shared" si="8"/>
        <v>9.1702160599392724E-3</v>
      </c>
      <c r="C86">
        <f t="shared" si="9"/>
        <v>2003</v>
      </c>
      <c r="D86" s="3">
        <f>LV!AM9</f>
        <v>1134.175685830005</v>
      </c>
      <c r="E86" s="3">
        <v>10.40063608899095</v>
      </c>
      <c r="F86" s="3">
        <v>0</v>
      </c>
      <c r="G86" s="3">
        <f t="shared" si="10"/>
        <v>1123.7750497410141</v>
      </c>
      <c r="H86" s="3">
        <f t="shared" si="7"/>
        <v>1123.7750497410141</v>
      </c>
      <c r="I86" s="3">
        <f t="shared" si="11"/>
        <v>0</v>
      </c>
    </row>
    <row r="87" spans="2:9" x14ac:dyDescent="0.25">
      <c r="B87">
        <f t="shared" si="8"/>
        <v>1.1674593860028479E-2</v>
      </c>
      <c r="C87">
        <f t="shared" si="9"/>
        <v>2004</v>
      </c>
      <c r="D87" s="3">
        <f>LV!AM10</f>
        <v>1166.8786192315965</v>
      </c>
      <c r="E87" s="3">
        <v>13.622833963479707</v>
      </c>
      <c r="F87" s="3">
        <v>0</v>
      </c>
      <c r="G87" s="3">
        <f t="shared" si="10"/>
        <v>1153.2557852681168</v>
      </c>
      <c r="H87" s="3">
        <f t="shared" si="7"/>
        <v>1153.2557852681168</v>
      </c>
      <c r="I87" s="3">
        <f t="shared" si="11"/>
        <v>0</v>
      </c>
    </row>
    <row r="88" spans="2:9" x14ac:dyDescent="0.25">
      <c r="B88">
        <f t="shared" si="8"/>
        <v>1.5790975747401719E-2</v>
      </c>
      <c r="C88">
        <f t="shared" si="9"/>
        <v>2005</v>
      </c>
      <c r="D88" s="3">
        <f>LV!AM11</f>
        <v>1204.2886924233644</v>
      </c>
      <c r="E88" s="3">
        <v>19.016893534927476</v>
      </c>
      <c r="F88" s="3">
        <v>0</v>
      </c>
      <c r="G88" s="3">
        <f t="shared" si="10"/>
        <v>1185.2717988884369</v>
      </c>
      <c r="H88" s="3">
        <f t="shared" si="7"/>
        <v>1185.2717988884369</v>
      </c>
      <c r="I88" s="3">
        <f t="shared" si="11"/>
        <v>0</v>
      </c>
    </row>
    <row r="89" spans="2:9" x14ac:dyDescent="0.25">
      <c r="B89">
        <f t="shared" si="8"/>
        <v>2.0275177361521405E-2</v>
      </c>
      <c r="C89">
        <f t="shared" si="9"/>
        <v>2006</v>
      </c>
      <c r="D89" s="3">
        <f>LV!AM12</f>
        <v>1236.7379194981149</v>
      </c>
      <c r="E89" s="3">
        <v>25.075080667543261</v>
      </c>
      <c r="F89" s="3">
        <v>0</v>
      </c>
      <c r="G89" s="3">
        <f t="shared" si="10"/>
        <v>1211.6628388305717</v>
      </c>
      <c r="H89" s="3">
        <f t="shared" si="7"/>
        <v>1211.6628388305717</v>
      </c>
      <c r="I89" s="3">
        <f t="shared" si="11"/>
        <v>0</v>
      </c>
    </row>
    <row r="90" spans="2:9" x14ac:dyDescent="0.25">
      <c r="B90">
        <f t="shared" si="8"/>
        <v>2.4718702932577295E-2</v>
      </c>
      <c r="C90">
        <f t="shared" si="9"/>
        <v>2007</v>
      </c>
      <c r="D90" s="3">
        <f>LV!AM13</f>
        <v>1336.1614679425707</v>
      </c>
      <c r="E90" s="3">
        <v>33.028178396028807</v>
      </c>
      <c r="F90" s="3">
        <v>0</v>
      </c>
      <c r="G90" s="3">
        <f t="shared" si="10"/>
        <v>1303.1332895465418</v>
      </c>
      <c r="H90" s="3">
        <f t="shared" si="7"/>
        <v>1303.1332895465418</v>
      </c>
      <c r="I90" s="3">
        <f t="shared" si="11"/>
        <v>0</v>
      </c>
    </row>
    <row r="91" spans="2:9" x14ac:dyDescent="0.25">
      <c r="B91">
        <f t="shared" si="8"/>
        <v>3.209287406515348E-2</v>
      </c>
      <c r="C91">
        <f t="shared" si="9"/>
        <v>2008</v>
      </c>
      <c r="D91" s="3">
        <f>LV!AM14</f>
        <v>1362.9993452085553</v>
      </c>
      <c r="E91" s="3">
        <v>43.742566336664822</v>
      </c>
      <c r="F91" s="3">
        <v>0</v>
      </c>
      <c r="G91" s="3">
        <f t="shared" si="10"/>
        <v>1319.2567788718904</v>
      </c>
      <c r="H91" s="3">
        <f t="shared" si="7"/>
        <v>1319.2567788718904</v>
      </c>
      <c r="I91" s="3">
        <f t="shared" si="11"/>
        <v>0</v>
      </c>
    </row>
    <row r="92" spans="2:9" x14ac:dyDescent="0.25">
      <c r="B92">
        <f t="shared" si="8"/>
        <v>3.935636876707399E-2</v>
      </c>
      <c r="C92">
        <f t="shared" si="9"/>
        <v>2009</v>
      </c>
      <c r="D92" s="3">
        <f>LV!AM15</f>
        <v>1364.1711350473736</v>
      </c>
      <c r="E92" s="3">
        <v>53.688822252322325</v>
      </c>
      <c r="F92" s="3">
        <v>0</v>
      </c>
      <c r="G92" s="3">
        <f t="shared" si="10"/>
        <v>1310.4823127950513</v>
      </c>
      <c r="H92" s="3">
        <f t="shared" si="7"/>
        <v>1310.4823127950513</v>
      </c>
      <c r="I92" s="3">
        <f t="shared" si="11"/>
        <v>0</v>
      </c>
    </row>
    <row r="93" spans="2:9" x14ac:dyDescent="0.25">
      <c r="B93">
        <f t="shared" si="8"/>
        <v>4.6511660136842367E-2</v>
      </c>
      <c r="C93">
        <f t="shared" si="9"/>
        <v>2010</v>
      </c>
      <c r="D93" s="3">
        <f>LV!AM16</f>
        <v>1367.8840123236675</v>
      </c>
      <c r="E93" s="3">
        <v>63.622556287818725</v>
      </c>
      <c r="F93" s="3">
        <v>0</v>
      </c>
      <c r="G93" s="3">
        <f t="shared" si="10"/>
        <v>1304.2614560358488</v>
      </c>
      <c r="H93" s="3">
        <f t="shared" si="7"/>
        <v>1304.2614560358488</v>
      </c>
      <c r="I93" s="3">
        <f t="shared" si="11"/>
        <v>0</v>
      </c>
    </row>
    <row r="94" spans="2:9" x14ac:dyDescent="0.25">
      <c r="B94">
        <f t="shared" si="8"/>
        <v>5.3561148134875738E-2</v>
      </c>
      <c r="C94">
        <f t="shared" si="9"/>
        <v>2011</v>
      </c>
      <c r="D94" s="3">
        <f>LV!AM17</f>
        <v>1417.4103443405322</v>
      </c>
      <c r="E94" s="3">
        <v>75.91812542112848</v>
      </c>
      <c r="F94" s="3">
        <v>0</v>
      </c>
      <c r="G94" s="3">
        <f t="shared" si="10"/>
        <v>1341.4922189194037</v>
      </c>
      <c r="H94" s="3">
        <f t="shared" si="7"/>
        <v>1341.4922189194037</v>
      </c>
      <c r="I94" s="3">
        <f t="shared" si="11"/>
        <v>0</v>
      </c>
    </row>
    <row r="95" spans="2:9" x14ac:dyDescent="0.25">
      <c r="B95">
        <f t="shared" si="8"/>
        <v>6.4001292440075894E-2</v>
      </c>
      <c r="C95">
        <f t="shared" si="9"/>
        <v>2012</v>
      </c>
      <c r="D95" s="3">
        <f>LV!AM18</f>
        <v>1445.2045990191784</v>
      </c>
      <c r="E95" s="3">
        <v>92.49496217756905</v>
      </c>
      <c r="F95" s="3">
        <v>0</v>
      </c>
      <c r="G95" s="3">
        <f t="shared" si="10"/>
        <v>1352.7096368416094</v>
      </c>
      <c r="H95" s="3">
        <f t="shared" si="7"/>
        <v>1352.7096368416094</v>
      </c>
      <c r="I95" s="3">
        <f t="shared" si="11"/>
        <v>0</v>
      </c>
    </row>
    <row r="96" spans="2:9" x14ac:dyDescent="0.25">
      <c r="B96">
        <f t="shared" si="8"/>
        <v>7.4213619824746613E-2</v>
      </c>
      <c r="C96">
        <f t="shared" si="9"/>
        <v>2013</v>
      </c>
      <c r="D96" s="3">
        <f>LV!AM19</f>
        <v>1453.7045743221504</v>
      </c>
      <c r="E96" s="3">
        <v>107.88467861623917</v>
      </c>
      <c r="F96" s="3">
        <v>0</v>
      </c>
      <c r="G96" s="3">
        <f t="shared" si="10"/>
        <v>1345.8198957059112</v>
      </c>
      <c r="H96" s="3">
        <f t="shared" si="7"/>
        <v>1345.8198957059112</v>
      </c>
      <c r="I96" s="3">
        <f t="shared" si="11"/>
        <v>0</v>
      </c>
    </row>
    <row r="97" spans="2:9" x14ac:dyDescent="0.25">
      <c r="B97">
        <f t="shared" si="8"/>
        <v>8.070854348737605E-2</v>
      </c>
      <c r="C97">
        <f t="shared" si="9"/>
        <v>2014</v>
      </c>
      <c r="D97" s="3">
        <f>LV!AM20</f>
        <v>1448.8630748296162</v>
      </c>
      <c r="E97" s="3">
        <v>116.93562848213946</v>
      </c>
      <c r="F97" s="3">
        <v>8.3756698689626319</v>
      </c>
      <c r="G97" s="3">
        <f t="shared" si="10"/>
        <v>1323.5517764785141</v>
      </c>
      <c r="H97" s="3">
        <f t="shared" si="7"/>
        <v>1321.5236154580823</v>
      </c>
      <c r="I97" s="3">
        <f t="shared" si="11"/>
        <v>-2.0281610204317531</v>
      </c>
    </row>
    <row r="98" spans="2:9" x14ac:dyDescent="0.25">
      <c r="B98">
        <f t="shared" si="8"/>
        <v>8.8077716523750849E-2</v>
      </c>
      <c r="C98">
        <f t="shared" si="9"/>
        <v>2015</v>
      </c>
      <c r="D98" s="3">
        <f>LV!AM21</f>
        <v>1454.789620595528</v>
      </c>
      <c r="E98" s="3">
        <v>128.13454780450797</v>
      </c>
      <c r="F98" s="3">
        <v>19.491977259439636</v>
      </c>
      <c r="G98" s="3">
        <f t="shared" si="10"/>
        <v>1307.1630955315804</v>
      </c>
      <c r="H98" s="3">
        <f t="shared" si="7"/>
        <v>1304.4680916071982</v>
      </c>
      <c r="I98" s="3">
        <f t="shared" si="11"/>
        <v>-2.695003924382263</v>
      </c>
    </row>
    <row r="99" spans="2:9" x14ac:dyDescent="0.25">
      <c r="B99">
        <f t="shared" si="8"/>
        <v>9.6123412485010148E-2</v>
      </c>
      <c r="C99">
        <f t="shared" si="9"/>
        <v>2016</v>
      </c>
      <c r="D99" s="3">
        <f>LV!AM22</f>
        <v>1481.9835416051703</v>
      </c>
      <c r="E99" s="3">
        <v>142.45331526570999</v>
      </c>
      <c r="F99" s="3">
        <v>29.392278166634696</v>
      </c>
      <c r="G99" s="3">
        <f t="shared" si="10"/>
        <v>1310.1379481728256</v>
      </c>
      <c r="H99" s="3">
        <f t="shared" si="7"/>
        <v>1308.1608799751075</v>
      </c>
      <c r="I99" s="3">
        <f t="shared" si="11"/>
        <v>-1.9770681977181539</v>
      </c>
    </row>
    <row r="100" spans="2:9" x14ac:dyDescent="0.25">
      <c r="B100">
        <f t="shared" si="8"/>
        <v>0.1033421298765686</v>
      </c>
      <c r="C100">
        <f t="shared" si="9"/>
        <v>2017</v>
      </c>
      <c r="D100" s="3">
        <f>LV!AM23</f>
        <v>1532.8756169594856</v>
      </c>
      <c r="E100" s="3">
        <v>158.41063109245238</v>
      </c>
      <c r="F100" s="3">
        <v>33.220039690323574</v>
      </c>
      <c r="G100" s="3">
        <f t="shared" si="10"/>
        <v>1341.2449461767096</v>
      </c>
      <c r="H100" s="3">
        <f t="shared" si="7"/>
        <v>1338.8216045905995</v>
      </c>
      <c r="I100" s="3">
        <f t="shared" si="11"/>
        <v>-2.4233415861101548</v>
      </c>
    </row>
    <row r="101" spans="2:9" x14ac:dyDescent="0.25">
      <c r="B101">
        <f t="shared" si="8"/>
        <v>0.1107461787940718</v>
      </c>
      <c r="C101">
        <f t="shared" si="9"/>
        <v>2018</v>
      </c>
      <c r="D101" s="3">
        <f>LV!AM24</f>
        <v>1567.8088011912482</v>
      </c>
      <c r="E101" s="3">
        <v>173.62883381164534</v>
      </c>
      <c r="F101" s="3">
        <v>33.491510673510902</v>
      </c>
      <c r="G101" s="3">
        <f t="shared" si="10"/>
        <v>1360.688456706092</v>
      </c>
      <c r="H101" s="3">
        <f t="shared" si="7"/>
        <v>1358.4413477051455</v>
      </c>
      <c r="I101" s="3">
        <f t="shared" si="11"/>
        <v>-2.247109000946466</v>
      </c>
    </row>
    <row r="102" spans="2:9" x14ac:dyDescent="0.25">
      <c r="B102">
        <f t="shared" si="8"/>
        <v>0.11815508935374051</v>
      </c>
      <c r="C102">
        <f t="shared" si="9"/>
        <v>2019</v>
      </c>
      <c r="D102" s="3">
        <f>LV!AM25</f>
        <v>1593.5545166962315</v>
      </c>
      <c r="E102" s="3">
        <v>188.28657631030001</v>
      </c>
      <c r="F102" s="3">
        <v>33.586576181517557</v>
      </c>
      <c r="G102" s="3">
        <f t="shared" si="10"/>
        <v>1371.681364204414</v>
      </c>
      <c r="H102" s="3">
        <f t="shared" si="7"/>
        <v>1369.8537138504701</v>
      </c>
      <c r="I102" s="3">
        <f t="shared" si="11"/>
        <v>-1.8276503539439091</v>
      </c>
    </row>
    <row r="130" spans="4:15" x14ac:dyDescent="0.25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4:15" x14ac:dyDescent="0.25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4:15" x14ac:dyDescent="0.25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4:15" x14ac:dyDescent="0.25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4:15" x14ac:dyDescent="0.25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4:15" x14ac:dyDescent="0.25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4:15" x14ac:dyDescent="0.25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4:15" x14ac:dyDescent="0.25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4:15" x14ac:dyDescent="0.25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4:15" x14ac:dyDescent="0.25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4:15" x14ac:dyDescent="0.25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4:15" x14ac:dyDescent="0.25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4:15" x14ac:dyDescent="0.25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4:15" x14ac:dyDescent="0.25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4:15" x14ac:dyDescent="0.25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4:15" x14ac:dyDescent="0.25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4:15" x14ac:dyDescent="0.25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4:15" x14ac:dyDescent="0.25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4:15" x14ac:dyDescent="0.25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4:15" x14ac:dyDescent="0.25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4:15" x14ac:dyDescent="0.25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4:15" x14ac:dyDescent="0.25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4:15" x14ac:dyDescent="0.25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4:15" x14ac:dyDescent="0.25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5:O46"/>
  <sheetViews>
    <sheetView tabSelected="1" workbookViewId="0">
      <selection activeCell="C23" sqref="C23"/>
    </sheetView>
  </sheetViews>
  <sheetFormatPr defaultRowHeight="15" x14ac:dyDescent="0.25"/>
  <cols>
    <col min="5" max="9" width="9.5703125" bestFit="1" customWidth="1"/>
    <col min="11" max="11" width="9.5703125" bestFit="1" customWidth="1"/>
    <col min="14" max="14" width="10.140625" bestFit="1" customWidth="1"/>
  </cols>
  <sheetData>
    <row r="5" spans="2:14" x14ac:dyDescent="0.25">
      <c r="B5" t="s">
        <v>34</v>
      </c>
      <c r="F5" t="s">
        <v>35</v>
      </c>
      <c r="G5" t="s">
        <v>37</v>
      </c>
      <c r="H5" t="s">
        <v>4</v>
      </c>
      <c r="I5" t="s">
        <v>22</v>
      </c>
      <c r="J5" t="s">
        <v>27</v>
      </c>
      <c r="K5" t="s">
        <v>36</v>
      </c>
    </row>
    <row r="6" spans="2:14" x14ac:dyDescent="0.25">
      <c r="B6" t="s">
        <v>35</v>
      </c>
      <c r="D6" t="s">
        <v>16</v>
      </c>
      <c r="E6">
        <v>2000</v>
      </c>
      <c r="F6" s="3">
        <f>Preferred!D6</f>
        <v>964.56726418188998</v>
      </c>
      <c r="G6" s="3">
        <f>OP!E7</f>
        <v>139.61247494009672</v>
      </c>
      <c r="H6" s="3">
        <f>Preferred!F6</f>
        <v>1026.264326943673</v>
      </c>
      <c r="I6" s="3">
        <f>Preferred!H6</f>
        <v>315.19973224847746</v>
      </c>
      <c r="J6" s="3">
        <f>SUM(F6:I6)</f>
        <v>2445.6437983141373</v>
      </c>
      <c r="K6" s="3">
        <f>Preferred!E6+Preferred!G6+Preferred!J6+OP!F7</f>
        <v>2448.4445025664863</v>
      </c>
      <c r="L6" s="8"/>
    </row>
    <row r="7" spans="2:14" x14ac:dyDescent="0.25">
      <c r="B7" t="s">
        <v>4</v>
      </c>
      <c r="D7" t="s">
        <v>21</v>
      </c>
      <c r="E7">
        <f>E6+1</f>
        <v>2001</v>
      </c>
      <c r="F7" s="3">
        <f>Preferred!D7</f>
        <v>978.39444016640869</v>
      </c>
      <c r="G7" s="3">
        <f>OP!E8</f>
        <v>143.86604009882763</v>
      </c>
      <c r="H7" s="3">
        <f>Preferred!F7</f>
        <v>1043.307576056706</v>
      </c>
      <c r="I7" s="3">
        <f>Preferred!H7</f>
        <v>317.42486659209374</v>
      </c>
      <c r="J7" s="3">
        <f t="shared" ref="J7:J25" si="0">SUM(F7:I7)</f>
        <v>2482.9929229140357</v>
      </c>
      <c r="K7" s="3">
        <f>Preferred!E7+Preferred!G7+Preferred!J7+OP!F8</f>
        <v>2478.4548394071835</v>
      </c>
      <c r="L7" s="8"/>
    </row>
    <row r="8" spans="2:14" x14ac:dyDescent="0.25">
      <c r="B8" t="s">
        <v>22</v>
      </c>
      <c r="D8" t="s">
        <v>23</v>
      </c>
      <c r="E8">
        <f>E7+1</f>
        <v>2002</v>
      </c>
      <c r="F8" s="3">
        <f>Preferred!D8</f>
        <v>980.70025212303494</v>
      </c>
      <c r="G8" s="3">
        <f>OP!E9</f>
        <v>143.62648675545364</v>
      </c>
      <c r="H8" s="3">
        <f>Preferred!F8</f>
        <v>1067.4256352258678</v>
      </c>
      <c r="I8" s="3">
        <f>Preferred!H8</f>
        <v>325.45776213796836</v>
      </c>
      <c r="J8" s="3">
        <f t="shared" si="0"/>
        <v>2517.210136242325</v>
      </c>
      <c r="K8" s="3">
        <f>Preferred!E8+Preferred!G8+Preferred!J8+OP!F9</f>
        <v>2549.7737274355086</v>
      </c>
      <c r="L8" s="8"/>
      <c r="M8" s="8"/>
      <c r="N8" s="21"/>
    </row>
    <row r="9" spans="2:14" x14ac:dyDescent="0.25">
      <c r="E9">
        <f t="shared" ref="E9:E25" si="1">E8+1</f>
        <v>2003</v>
      </c>
      <c r="F9" s="3">
        <f>Preferred!D9</f>
        <v>1002.3719719005716</v>
      </c>
      <c r="G9" s="3">
        <f>OP!E10</f>
        <v>138.74161207494112</v>
      </c>
      <c r="H9" s="3">
        <f>Preferred!F9</f>
        <v>1123.7750497410141</v>
      </c>
      <c r="I9" s="3">
        <f>Preferred!H9</f>
        <v>336.4739881404833</v>
      </c>
      <c r="J9" s="3">
        <f t="shared" si="0"/>
        <v>2601.3626218570103</v>
      </c>
      <c r="K9" s="3">
        <f>Preferred!E9+Preferred!G9+Preferred!J9+OP!F10</f>
        <v>2549.6446503497355</v>
      </c>
      <c r="L9" s="8"/>
      <c r="M9" s="8"/>
      <c r="N9" s="21"/>
    </row>
    <row r="10" spans="2:14" x14ac:dyDescent="0.25">
      <c r="E10">
        <f t="shared" si="1"/>
        <v>2004</v>
      </c>
      <c r="F10" s="3">
        <f>Preferred!D10</f>
        <v>989.76846272151442</v>
      </c>
      <c r="G10" s="3">
        <f>OP!E11</f>
        <v>136.45281599592983</v>
      </c>
      <c r="H10" s="3">
        <f>Preferred!F10</f>
        <v>1153.2557852681168</v>
      </c>
      <c r="I10" s="3">
        <f>Preferred!H10</f>
        <v>341.54906184201047</v>
      </c>
      <c r="J10" s="3">
        <f t="shared" si="0"/>
        <v>2621.0261258275714</v>
      </c>
      <c r="K10" s="3">
        <f>Preferred!E10+Preferred!G10+Preferred!J10+OP!F11</f>
        <v>2617.0565412204924</v>
      </c>
      <c r="L10" s="8"/>
      <c r="M10" s="8"/>
      <c r="N10" s="21"/>
    </row>
    <row r="11" spans="2:14" x14ac:dyDescent="0.25">
      <c r="E11">
        <f t="shared" si="1"/>
        <v>2005</v>
      </c>
      <c r="F11" s="3">
        <f>Preferred!D11</f>
        <v>1016.6016021072735</v>
      </c>
      <c r="G11" s="3">
        <f>OP!E12</f>
        <v>132.32890416566389</v>
      </c>
      <c r="H11" s="3">
        <f>Preferred!F11</f>
        <v>1185.2717988884369</v>
      </c>
      <c r="I11" s="3">
        <f>Preferred!H11</f>
        <v>347.01932541631686</v>
      </c>
      <c r="J11" s="3">
        <f t="shared" si="0"/>
        <v>2681.221630577691</v>
      </c>
      <c r="K11" s="3">
        <f>Preferred!E11+Preferred!G11+Preferred!J11+OP!F12</f>
        <v>2660.5593494649279</v>
      </c>
      <c r="L11" s="8"/>
      <c r="M11" s="8"/>
      <c r="N11" s="21"/>
    </row>
    <row r="12" spans="2:14" x14ac:dyDescent="0.25">
      <c r="E12">
        <f t="shared" si="1"/>
        <v>2006</v>
      </c>
      <c r="F12" s="3">
        <f>Preferred!D12</f>
        <v>1034.0534408606279</v>
      </c>
      <c r="G12" s="3">
        <f>OP!E13</f>
        <v>132.07815015184732</v>
      </c>
      <c r="H12" s="3">
        <f>Preferred!F12</f>
        <v>1211.6628388305717</v>
      </c>
      <c r="I12" s="3">
        <f>Preferred!H12</f>
        <v>351.40859981599567</v>
      </c>
      <c r="J12" s="3">
        <f t="shared" si="0"/>
        <v>2729.2030296590424</v>
      </c>
      <c r="K12" s="3">
        <f>Preferred!E12+Preferred!G12+Preferred!J12+OP!F13</f>
        <v>2750.8938090824513</v>
      </c>
      <c r="L12" s="8"/>
      <c r="M12" s="8"/>
      <c r="N12" s="21"/>
    </row>
    <row r="13" spans="2:14" x14ac:dyDescent="0.25">
      <c r="E13">
        <f t="shared" si="1"/>
        <v>2007</v>
      </c>
      <c r="F13" s="3">
        <f>Preferred!D13</f>
        <v>1077.8766308086488</v>
      </c>
      <c r="G13" s="3">
        <f>OP!E14</f>
        <v>115.62527443214292</v>
      </c>
      <c r="H13" s="3">
        <f>Preferred!F13</f>
        <v>1303.1332895465418</v>
      </c>
      <c r="I13" s="3">
        <f>Preferred!H13</f>
        <v>367.80023645292584</v>
      </c>
      <c r="J13" s="3">
        <f t="shared" si="0"/>
        <v>2864.4354312402593</v>
      </c>
      <c r="K13" s="3">
        <f>Preferred!E13+Preferred!G13+Preferred!J13+OP!F14</f>
        <v>2841.7693228882495</v>
      </c>
      <c r="L13" s="8"/>
      <c r="M13" s="8"/>
      <c r="N13" s="21"/>
    </row>
    <row r="14" spans="2:14" x14ac:dyDescent="0.25">
      <c r="E14">
        <f t="shared" si="1"/>
        <v>2008</v>
      </c>
      <c r="F14" s="3">
        <f>Preferred!D14</f>
        <v>1074.547473814883</v>
      </c>
      <c r="G14" s="3">
        <f>OP!E15</f>
        <v>122.23967630937322</v>
      </c>
      <c r="H14" s="3">
        <f>Preferred!F14</f>
        <v>1319.2567788718904</v>
      </c>
      <c r="I14" s="3">
        <f>Preferred!H14</f>
        <v>368.68051240457004</v>
      </c>
      <c r="J14" s="3">
        <f t="shared" si="0"/>
        <v>2884.7244414007168</v>
      </c>
      <c r="K14" s="3">
        <f>Preferred!E14+Preferred!G14+Preferred!J14+OP!F15</f>
        <v>2886.3511061790791</v>
      </c>
      <c r="L14" s="8"/>
      <c r="M14" s="8"/>
      <c r="N14" s="21"/>
    </row>
    <row r="15" spans="2:14" x14ac:dyDescent="0.25">
      <c r="E15">
        <f t="shared" si="1"/>
        <v>2009</v>
      </c>
      <c r="F15" s="3">
        <f>Preferred!D15</f>
        <v>1073.9946794387215</v>
      </c>
      <c r="G15" s="3">
        <f>OP!E16</f>
        <v>117.27630905319751</v>
      </c>
      <c r="H15" s="3">
        <f>Preferred!F15</f>
        <v>1310.4823127950513</v>
      </c>
      <c r="I15" s="3">
        <f>Preferred!H15</f>
        <v>371.0078325312403</v>
      </c>
      <c r="J15" s="3">
        <f t="shared" si="0"/>
        <v>2872.7611338182105</v>
      </c>
      <c r="K15" s="3">
        <f>Preferred!E15+Preferred!G15+Preferred!J15+OP!F16</f>
        <v>2891.5825334640804</v>
      </c>
      <c r="L15" s="8"/>
      <c r="M15" s="8"/>
      <c r="N15" s="21"/>
    </row>
    <row r="16" spans="2:14" x14ac:dyDescent="0.25">
      <c r="E16">
        <f t="shared" si="1"/>
        <v>2010</v>
      </c>
      <c r="F16" s="3">
        <f>Preferred!D16</f>
        <v>1067.618567570204</v>
      </c>
      <c r="G16" s="3">
        <f>OP!E17</f>
        <v>112.31294179702364</v>
      </c>
      <c r="H16" s="3">
        <f>Preferred!F16</f>
        <v>1304.2614560358488</v>
      </c>
      <c r="I16" s="3">
        <f>Preferred!H16</f>
        <v>372.53821984204097</v>
      </c>
      <c r="J16" s="3">
        <f t="shared" si="0"/>
        <v>2856.7311852451176</v>
      </c>
      <c r="K16" s="3">
        <f>Preferred!E16+Preferred!G16+Preferred!J16+OP!F17</f>
        <v>2904.6709148496848</v>
      </c>
      <c r="L16" s="8"/>
      <c r="M16" s="8"/>
      <c r="N16" s="21"/>
    </row>
    <row r="17" spans="5:15" x14ac:dyDescent="0.25">
      <c r="E17">
        <f t="shared" si="1"/>
        <v>2011</v>
      </c>
      <c r="F17" s="3">
        <f>Preferred!D17</f>
        <v>1077.6831680669768</v>
      </c>
      <c r="G17" s="3">
        <f>OP!E18</f>
        <v>107.34957454084791</v>
      </c>
      <c r="H17" s="3">
        <f>Preferred!F17</f>
        <v>1341.4922189194037</v>
      </c>
      <c r="I17" s="3">
        <f>Preferred!H17</f>
        <v>375.73934257565111</v>
      </c>
      <c r="J17" s="3">
        <f t="shared" si="0"/>
        <v>2902.2643041028796</v>
      </c>
      <c r="K17" s="3">
        <f>Preferred!E17+Preferred!G17+Preferred!J17+OP!F18</f>
        <v>2908.6979792521915</v>
      </c>
      <c r="L17" s="8"/>
      <c r="M17" s="8"/>
      <c r="N17" s="21"/>
    </row>
    <row r="18" spans="5:15" x14ac:dyDescent="0.25">
      <c r="E18">
        <f t="shared" si="1"/>
        <v>2012</v>
      </c>
      <c r="F18" s="3">
        <f>Preferred!D18</f>
        <v>1071.3172070660698</v>
      </c>
      <c r="G18" s="3">
        <f>OP!E19</f>
        <v>102.38620728467218</v>
      </c>
      <c r="H18" s="3">
        <f>Preferred!F18</f>
        <v>1352.7096368416094</v>
      </c>
      <c r="I18" s="3">
        <f>Preferred!H18</f>
        <v>377.66141597732394</v>
      </c>
      <c r="J18" s="3">
        <f t="shared" si="0"/>
        <v>2904.0744671696752</v>
      </c>
      <c r="K18" s="3">
        <f>Preferred!E18+Preferred!G18+Preferred!J18+OP!F19</f>
        <v>2926.4061098091229</v>
      </c>
      <c r="L18" s="8"/>
      <c r="M18" s="8"/>
      <c r="N18" s="21"/>
    </row>
    <row r="19" spans="5:15" x14ac:dyDescent="0.25">
      <c r="E19">
        <f t="shared" si="1"/>
        <v>2013</v>
      </c>
      <c r="F19" s="3">
        <f>Preferred!D19</f>
        <v>1071.875139600181</v>
      </c>
      <c r="G19" s="3">
        <f>OP!E20</f>
        <v>97.422840028498328</v>
      </c>
      <c r="H19" s="3">
        <f>Preferred!F19</f>
        <v>1345.8198957059112</v>
      </c>
      <c r="I19" s="3">
        <f>Preferred!H19</f>
        <v>379.63951709694379</v>
      </c>
      <c r="J19" s="3">
        <f t="shared" si="0"/>
        <v>2894.7573924315338</v>
      </c>
      <c r="K19" s="3">
        <f>Preferred!E19+Preferred!G19+Preferred!J19+OP!F20</f>
        <v>2844.0275503819871</v>
      </c>
      <c r="L19" s="8"/>
      <c r="M19" s="8"/>
      <c r="N19" s="3"/>
    </row>
    <row r="20" spans="5:15" x14ac:dyDescent="0.25">
      <c r="E20">
        <f t="shared" si="1"/>
        <v>2014</v>
      </c>
      <c r="F20" s="3">
        <f>Preferred!D20</f>
        <v>1050.5427195789905</v>
      </c>
      <c r="G20" s="3">
        <f>OP!E21</f>
        <v>92.459472772322599</v>
      </c>
      <c r="H20" s="3">
        <f>Preferred!F20</f>
        <v>1321.5236154580823</v>
      </c>
      <c r="I20" s="3">
        <f>Preferred!H20</f>
        <v>375.62076924741268</v>
      </c>
      <c r="J20" s="3">
        <f t="shared" si="0"/>
        <v>2840.1465770568084</v>
      </c>
      <c r="K20" s="3">
        <v>2831.7699117270695</v>
      </c>
      <c r="L20" s="8"/>
      <c r="N20" s="3"/>
      <c r="O20" s="3"/>
    </row>
    <row r="21" spans="5:15" x14ac:dyDescent="0.25">
      <c r="E21">
        <f t="shared" si="1"/>
        <v>2015</v>
      </c>
      <c r="F21" s="24">
        <f>Preferred!D21</f>
        <v>1018.9454880278897</v>
      </c>
      <c r="G21" s="24">
        <f>OP!E22</f>
        <v>87.496105516146869</v>
      </c>
      <c r="H21" s="24">
        <f>Preferred!F21</f>
        <v>1304.4680916071982</v>
      </c>
      <c r="I21" s="24">
        <f>Preferred!H21</f>
        <v>370.31579628278291</v>
      </c>
      <c r="J21" s="24">
        <f t="shared" si="0"/>
        <v>2781.2254814340176</v>
      </c>
      <c r="K21" s="3"/>
      <c r="L21" s="8"/>
      <c r="N21" s="3"/>
      <c r="O21" s="3"/>
    </row>
    <row r="22" spans="5:15" x14ac:dyDescent="0.25">
      <c r="E22">
        <f t="shared" si="1"/>
        <v>2016</v>
      </c>
      <c r="F22" s="24">
        <f>Preferred!D22</f>
        <v>998.25340519709471</v>
      </c>
      <c r="G22" s="24">
        <f>OP!E23</f>
        <v>82.532738259973002</v>
      </c>
      <c r="H22" s="24">
        <f>Preferred!F22</f>
        <v>1308.1608799751075</v>
      </c>
      <c r="I22" s="24">
        <f>Preferred!H22</f>
        <v>366.9115846997006</v>
      </c>
      <c r="J22" s="24">
        <f t="shared" si="0"/>
        <v>2755.8586081318758</v>
      </c>
      <c r="K22" s="3"/>
      <c r="L22" s="8"/>
      <c r="N22" s="3"/>
      <c r="O22" s="3"/>
    </row>
    <row r="23" spans="5:15" x14ac:dyDescent="0.25">
      <c r="E23">
        <f t="shared" si="1"/>
        <v>2017</v>
      </c>
      <c r="F23" s="24">
        <f>Preferred!D23</f>
        <v>1002.6521007382449</v>
      </c>
      <c r="G23" s="24">
        <f>OP!E24</f>
        <v>77.569371003797272</v>
      </c>
      <c r="H23" s="24">
        <f>Preferred!F23</f>
        <v>1338.8216045905995</v>
      </c>
      <c r="I23" s="24">
        <f>Preferred!H23</f>
        <v>369.19430476852273</v>
      </c>
      <c r="J23" s="24">
        <f t="shared" si="0"/>
        <v>2788.2373811011644</v>
      </c>
      <c r="K23" s="3"/>
      <c r="N23" s="3"/>
      <c r="O23" s="3"/>
    </row>
    <row r="24" spans="5:15" x14ac:dyDescent="0.25">
      <c r="E24">
        <f t="shared" si="1"/>
        <v>2018</v>
      </c>
      <c r="F24" s="24">
        <f>Preferred!D24</f>
        <v>1010.016678525853</v>
      </c>
      <c r="G24" s="24">
        <f>OP!E25</f>
        <v>72.606003747623419</v>
      </c>
      <c r="H24" s="24">
        <f>Preferred!F24</f>
        <v>1358.4413477051455</v>
      </c>
      <c r="I24" s="24">
        <f>Preferred!H24</f>
        <v>372.52967836786803</v>
      </c>
      <c r="J24" s="24">
        <f t="shared" si="0"/>
        <v>2813.5937083464901</v>
      </c>
      <c r="K24" s="3"/>
      <c r="N24" s="3"/>
      <c r="O24" s="3"/>
    </row>
    <row r="25" spans="5:15" x14ac:dyDescent="0.25">
      <c r="E25">
        <f t="shared" si="1"/>
        <v>2019</v>
      </c>
      <c r="F25" s="24">
        <f>Preferred!D25</f>
        <v>1012.3337474422843</v>
      </c>
      <c r="G25" s="24">
        <f>OP!E26</f>
        <v>67.642636491447689</v>
      </c>
      <c r="H25" s="24">
        <f>Preferred!F25</f>
        <v>1369.8537138504701</v>
      </c>
      <c r="I25" s="24">
        <f>Preferred!H25</f>
        <v>374.30094246686406</v>
      </c>
      <c r="J25" s="24">
        <f t="shared" si="0"/>
        <v>2824.1310402510658</v>
      </c>
      <c r="K25" s="3"/>
      <c r="N25" s="3"/>
      <c r="O25" s="3"/>
    </row>
    <row r="28" spans="5:15" x14ac:dyDescent="0.25">
      <c r="J28" s="3"/>
      <c r="K28" s="25"/>
    </row>
    <row r="29" spans="5:15" x14ac:dyDescent="0.25">
      <c r="F29" s="3"/>
      <c r="G29" s="3"/>
      <c r="H29" s="3"/>
      <c r="I29" s="3"/>
      <c r="J29" s="3"/>
      <c r="K29" s="25"/>
    </row>
    <row r="30" spans="5:15" x14ac:dyDescent="0.25">
      <c r="F30" s="3"/>
      <c r="G30" s="3"/>
      <c r="H30" s="3"/>
      <c r="I30" s="3"/>
      <c r="J30" s="3"/>
      <c r="K30" s="25"/>
    </row>
    <row r="31" spans="5:15" x14ac:dyDescent="0.25">
      <c r="F31" s="3"/>
      <c r="G31" s="3"/>
      <c r="H31" s="3"/>
      <c r="I31" s="3"/>
      <c r="J31" s="3"/>
      <c r="K31" s="25"/>
    </row>
    <row r="32" spans="5:15" x14ac:dyDescent="0.25">
      <c r="F32" s="3"/>
      <c r="G32" s="3"/>
      <c r="H32" s="3"/>
      <c r="I32" s="3"/>
      <c r="J32" s="3"/>
      <c r="K32" s="25"/>
    </row>
    <row r="33" spans="5:11" x14ac:dyDescent="0.25">
      <c r="F33" s="3"/>
      <c r="G33" s="3"/>
      <c r="H33" s="3"/>
      <c r="I33" s="3"/>
      <c r="J33" s="3"/>
      <c r="K33" s="3"/>
    </row>
    <row r="34" spans="5:11" x14ac:dyDescent="0.25">
      <c r="F34" s="3"/>
      <c r="G34" s="3"/>
      <c r="H34" s="3"/>
      <c r="I34" s="3"/>
      <c r="J34" s="3"/>
      <c r="K34" s="3"/>
    </row>
    <row r="35" spans="5:11" x14ac:dyDescent="0.25">
      <c r="F35" s="3"/>
      <c r="G35" s="3"/>
      <c r="H35" s="3"/>
      <c r="I35" s="3"/>
      <c r="J35" s="3"/>
      <c r="K35" s="3"/>
    </row>
    <row r="37" spans="5:11" x14ac:dyDescent="0.25">
      <c r="J37" s="3"/>
    </row>
    <row r="42" spans="5:11" x14ac:dyDescent="0.25">
      <c r="E42" s="23"/>
      <c r="F42" s="23"/>
      <c r="G42" s="23"/>
      <c r="H42" s="23"/>
      <c r="I42" s="23"/>
    </row>
    <row r="43" spans="5:11" x14ac:dyDescent="0.25">
      <c r="E43" s="23"/>
      <c r="F43" s="23"/>
      <c r="G43" s="23"/>
      <c r="H43" s="23"/>
      <c r="I43" s="23"/>
    </row>
    <row r="44" spans="5:11" x14ac:dyDescent="0.25">
      <c r="E44" s="23"/>
      <c r="F44" s="23"/>
      <c r="G44" s="23"/>
      <c r="H44" s="23"/>
      <c r="I44" s="23"/>
    </row>
    <row r="45" spans="5:11" x14ac:dyDescent="0.25">
      <c r="E45" s="23"/>
      <c r="F45" s="23"/>
      <c r="G45" s="23"/>
      <c r="H45" s="23"/>
      <c r="I45" s="23"/>
    </row>
    <row r="46" spans="5:11" x14ac:dyDescent="0.25">
      <c r="E46" s="23"/>
      <c r="F46" s="23"/>
      <c r="G46" s="23"/>
      <c r="H46" s="23"/>
      <c r="I46" s="2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J57"/>
  <sheetViews>
    <sheetView workbookViewId="0">
      <selection activeCell="P22" sqref="P22"/>
    </sheetView>
  </sheetViews>
  <sheetFormatPr defaultRowHeight="15" x14ac:dyDescent="0.25"/>
  <cols>
    <col min="3" max="4" width="9.5703125" bestFit="1" customWidth="1"/>
    <col min="5" max="6" width="10.42578125" customWidth="1"/>
    <col min="20" max="24" width="9.5703125" bestFit="1" customWidth="1"/>
    <col min="27" max="27" width="11.28515625" bestFit="1" customWidth="1"/>
    <col min="37" max="37" width="9.5703125" bestFit="1" customWidth="1"/>
  </cols>
  <sheetData>
    <row r="2" spans="2:88" x14ac:dyDescent="0.25">
      <c r="AI2" t="s">
        <v>0</v>
      </c>
    </row>
    <row r="3" spans="2:88" x14ac:dyDescent="0.25">
      <c r="C3" t="s">
        <v>1</v>
      </c>
      <c r="K3" t="s">
        <v>2</v>
      </c>
      <c r="T3" t="s">
        <v>3</v>
      </c>
      <c r="AA3" t="s">
        <v>3</v>
      </c>
      <c r="BF3" t="s">
        <v>17</v>
      </c>
      <c r="BN3" t="s">
        <v>38</v>
      </c>
      <c r="CD3" t="s">
        <v>31</v>
      </c>
    </row>
    <row r="4" spans="2:88" x14ac:dyDescent="0.25">
      <c r="C4" t="s">
        <v>14</v>
      </c>
      <c r="K4" t="s">
        <v>4</v>
      </c>
      <c r="T4" t="s">
        <v>5</v>
      </c>
      <c r="AA4" t="s">
        <v>6</v>
      </c>
      <c r="AI4" t="s">
        <v>5</v>
      </c>
      <c r="AP4" t="s">
        <v>6</v>
      </c>
      <c r="AV4" t="s">
        <v>7</v>
      </c>
    </row>
    <row r="5" spans="2:88" x14ac:dyDescent="0.25">
      <c r="C5" t="s">
        <v>5</v>
      </c>
      <c r="D5" t="s">
        <v>8</v>
      </c>
      <c r="E5" t="s">
        <v>45</v>
      </c>
      <c r="F5" t="s">
        <v>26</v>
      </c>
      <c r="G5" t="s">
        <v>46</v>
      </c>
      <c r="H5" t="s">
        <v>15</v>
      </c>
      <c r="I5" t="s">
        <v>11</v>
      </c>
      <c r="K5" t="s">
        <v>5</v>
      </c>
      <c r="L5" t="s">
        <v>8</v>
      </c>
      <c r="M5" t="s">
        <v>12</v>
      </c>
      <c r="N5" t="s">
        <v>9</v>
      </c>
      <c r="O5" t="s">
        <v>26</v>
      </c>
      <c r="P5" t="s">
        <v>10</v>
      </c>
      <c r="Q5" t="s">
        <v>15</v>
      </c>
      <c r="R5" t="s">
        <v>11</v>
      </c>
      <c r="AA5" t="s">
        <v>16</v>
      </c>
      <c r="AO5">
        <f t="shared" ref="AO5:AP5" si="0">Z5</f>
        <v>0</v>
      </c>
      <c r="AP5" t="str">
        <f t="shared" si="0"/>
        <v>R11</v>
      </c>
      <c r="AV5" t="str">
        <f>AP5</f>
        <v>R11</v>
      </c>
      <c r="BB5" t="s">
        <v>13</v>
      </c>
      <c r="BD5" t="s">
        <v>18</v>
      </c>
      <c r="BJ5" t="s">
        <v>16</v>
      </c>
      <c r="BR5" t="s">
        <v>16</v>
      </c>
      <c r="CH5" t="s">
        <v>16</v>
      </c>
    </row>
    <row r="6" spans="2:88" x14ac:dyDescent="0.25">
      <c r="B6">
        <v>2000</v>
      </c>
      <c r="C6" s="9">
        <v>3069.9327768109829</v>
      </c>
      <c r="D6" s="9">
        <v>3100.4232656146837</v>
      </c>
      <c r="E6" s="2"/>
      <c r="F6" s="3"/>
      <c r="G6">
        <v>396.83905133295895</v>
      </c>
      <c r="H6">
        <v>5.2210260256935447E-2</v>
      </c>
      <c r="K6" s="2">
        <f t="shared" ref="K6:K19" si="1">LN(C6)</f>
        <v>8.0294109435372647</v>
      </c>
      <c r="L6" s="2">
        <f t="shared" ref="L6:L19" si="2">LN(D6)</f>
        <v>8.0392939184479282</v>
      </c>
      <c r="M6">
        <v>1</v>
      </c>
      <c r="P6">
        <f t="shared" ref="P6:Q21" si="3">LN(G6)</f>
        <v>5.9835307862258729</v>
      </c>
      <c r="Q6">
        <f t="shared" si="3"/>
        <v>-2.9524762467619978</v>
      </c>
      <c r="T6" s="2"/>
      <c r="U6" s="2"/>
      <c r="V6" s="2"/>
      <c r="W6" s="2"/>
      <c r="X6" s="2"/>
      <c r="Y6" s="2"/>
      <c r="AA6" s="2">
        <f>SUMPRODUCT($U$45:$Z$45,M6:R6)</f>
        <v>8.0333936646978401</v>
      </c>
      <c r="AB6" s="2"/>
      <c r="AC6" s="2"/>
      <c r="AD6" s="2"/>
      <c r="AE6" s="2"/>
      <c r="AF6" s="2"/>
      <c r="AG6">
        <f t="shared" ref="AG6:AG25" si="4">B6</f>
        <v>2000</v>
      </c>
      <c r="AI6" s="2"/>
      <c r="AJ6" s="2"/>
      <c r="AK6" s="2"/>
      <c r="AL6" s="2"/>
      <c r="AM6" s="2"/>
      <c r="AN6" s="2"/>
      <c r="AP6" s="2">
        <f t="shared" ref="AP6:AP19" si="5">EXP(AA6)</f>
        <v>3082.1838431393535</v>
      </c>
      <c r="AQ6" s="2"/>
      <c r="AR6" s="2"/>
      <c r="AS6" s="2"/>
      <c r="AT6" s="2"/>
      <c r="AV6" s="2">
        <f>AP6/(1+$BB6)</f>
        <v>3051.8727262662333</v>
      </c>
      <c r="AW6" s="2"/>
      <c r="AX6" s="2"/>
      <c r="AY6" s="2"/>
      <c r="AZ6" s="2"/>
      <c r="BB6" s="8">
        <v>9.9319727891156468E-3</v>
      </c>
      <c r="BD6" s="5">
        <f>+'Data BIS V SKM'!T10</f>
        <v>316057.5</v>
      </c>
      <c r="BF6" s="11"/>
      <c r="BG6" s="11"/>
      <c r="BH6" s="11"/>
      <c r="BI6" s="11"/>
      <c r="BJ6" s="11">
        <f>AV6*$BD6/1000000</f>
        <v>964.56726418188998</v>
      </c>
      <c r="BK6" s="11"/>
      <c r="BL6" s="11"/>
      <c r="BN6" s="11"/>
      <c r="BO6" s="11"/>
      <c r="BP6" s="11"/>
      <c r="BQ6" s="11"/>
      <c r="BR6" s="11">
        <v>964.56726418188998</v>
      </c>
      <c r="BS6" s="11"/>
      <c r="BT6" s="11"/>
      <c r="BV6" s="2"/>
      <c r="BW6" s="2"/>
      <c r="BX6" s="2"/>
      <c r="BY6" s="2"/>
      <c r="BZ6" s="2"/>
      <c r="CA6" s="2"/>
      <c r="CB6" s="2"/>
      <c r="CD6" s="2"/>
      <c r="CE6" s="2"/>
      <c r="CF6" s="2"/>
      <c r="CG6" s="2"/>
      <c r="CH6" s="2">
        <f>1000*BR6/'Residential Per Pers'!$BD6</f>
        <v>3.0518727262662328</v>
      </c>
      <c r="CI6" s="2"/>
      <c r="CJ6" s="2"/>
    </row>
    <row r="7" spans="2:88" x14ac:dyDescent="0.25">
      <c r="B7">
        <f t="shared" ref="B7:B25" si="6">B6+1</f>
        <v>2001</v>
      </c>
      <c r="C7" s="9">
        <v>2986.924717914123</v>
      </c>
      <c r="D7" s="9">
        <v>3021.5893000145415</v>
      </c>
      <c r="E7" s="2"/>
      <c r="F7" s="3"/>
      <c r="G7">
        <v>398.78331712381674</v>
      </c>
      <c r="H7">
        <v>5.8283450446493933E-2</v>
      </c>
      <c r="K7" s="2">
        <f t="shared" si="1"/>
        <v>8.0019996146558263</v>
      </c>
      <c r="L7" s="2">
        <f t="shared" si="2"/>
        <v>8.0135382302265494</v>
      </c>
      <c r="M7">
        <v>1</v>
      </c>
      <c r="P7">
        <f t="shared" si="3"/>
        <v>5.9884182045241481</v>
      </c>
      <c r="Q7">
        <f t="shared" si="3"/>
        <v>-2.8424370947663764</v>
      </c>
      <c r="T7" s="2"/>
      <c r="U7" s="2"/>
      <c r="V7" s="2"/>
      <c r="W7" s="2"/>
      <c r="X7" s="2"/>
      <c r="Y7" s="2"/>
      <c r="AA7" s="2">
        <f t="shared" ref="AA7:AA25" si="7">SUMPRODUCT($U$45:$Z$45,M7:R7)</f>
        <v>8.0376016817204423</v>
      </c>
      <c r="AB7" s="2"/>
      <c r="AC7" s="2"/>
      <c r="AD7" s="2"/>
      <c r="AE7" s="2"/>
      <c r="AF7" s="2"/>
      <c r="AG7">
        <f t="shared" si="4"/>
        <v>2001</v>
      </c>
      <c r="AI7" s="2"/>
      <c r="AJ7" s="2"/>
      <c r="AK7" s="2"/>
      <c r="AL7" s="2"/>
      <c r="AM7" s="2"/>
      <c r="AN7" s="2"/>
      <c r="AP7" s="2">
        <f t="shared" si="5"/>
        <v>3095.1810522778233</v>
      </c>
      <c r="AQ7" s="2"/>
      <c r="AR7" s="2"/>
      <c r="AS7" s="2"/>
      <c r="AT7" s="2"/>
      <c r="AV7" s="2">
        <f t="shared" ref="AV7:AV25" si="8">AP7/(1+$BB7)</f>
        <v>3059.6722034406143</v>
      </c>
      <c r="AW7" s="2"/>
      <c r="AX7" s="2"/>
      <c r="AY7" s="2"/>
      <c r="AZ7" s="2"/>
      <c r="BB7" s="8">
        <v>1.1605442176870748E-2</v>
      </c>
      <c r="BD7" s="5">
        <f>+'Data BIS V SKM'!T11</f>
        <v>319771</v>
      </c>
      <c r="BF7" s="11"/>
      <c r="BG7" s="11"/>
      <c r="BH7" s="11"/>
      <c r="BI7" s="11"/>
      <c r="BJ7" s="11">
        <f t="shared" ref="BJ7:BJ25" si="9">AV7*$BD7/1000000</f>
        <v>978.39444016640869</v>
      </c>
      <c r="BK7" s="11"/>
      <c r="BL7" s="11"/>
      <c r="BN7" s="11"/>
      <c r="BO7" s="11"/>
      <c r="BP7" s="11"/>
      <c r="BQ7" s="11"/>
      <c r="BR7" s="11">
        <v>978.39444016640869</v>
      </c>
      <c r="BS7" s="11"/>
      <c r="BT7" s="11"/>
      <c r="BV7" s="2"/>
      <c r="BW7" s="2"/>
      <c r="BX7" s="2"/>
      <c r="BY7" s="2"/>
      <c r="BZ7" s="2"/>
      <c r="CA7" s="2"/>
      <c r="CB7" s="2"/>
      <c r="CD7" s="2"/>
      <c r="CE7" s="2"/>
      <c r="CF7" s="2"/>
      <c r="CG7" s="2"/>
      <c r="CH7" s="2">
        <f>1000*BR7/'Residential Per Pers'!$BD7</f>
        <v>3.0596722034406141</v>
      </c>
      <c r="CI7" s="2"/>
      <c r="CJ7" s="2"/>
    </row>
    <row r="8" spans="2:88" x14ac:dyDescent="0.25">
      <c r="B8">
        <f t="shared" si="6"/>
        <v>2002</v>
      </c>
      <c r="C8" s="9">
        <v>3082.28990316207</v>
      </c>
      <c r="D8" s="9">
        <v>3123.2193582026985</v>
      </c>
      <c r="E8" s="2"/>
      <c r="F8" s="3"/>
      <c r="G8">
        <v>395.41594690908528</v>
      </c>
      <c r="H8">
        <v>4.5201992753623195E-2</v>
      </c>
      <c r="K8" s="2">
        <f t="shared" si="1"/>
        <v>8.0334280747795734</v>
      </c>
      <c r="L8" s="2">
        <f t="shared" si="2"/>
        <v>8.0466195943945884</v>
      </c>
      <c r="M8">
        <v>1</v>
      </c>
      <c r="P8">
        <f t="shared" si="3"/>
        <v>5.9799382410033752</v>
      </c>
      <c r="Q8">
        <f t="shared" si="3"/>
        <v>-3.096614105646236</v>
      </c>
      <c r="T8" s="2"/>
      <c r="U8" s="2"/>
      <c r="V8" s="2"/>
      <c r="W8" s="2"/>
      <c r="X8" s="2"/>
      <c r="Y8" s="2"/>
      <c r="AA8" s="2">
        <f t="shared" si="7"/>
        <v>8.0303005201114477</v>
      </c>
      <c r="AB8" s="2"/>
      <c r="AC8" s="2"/>
      <c r="AD8" s="2"/>
      <c r="AE8" s="2"/>
      <c r="AF8" s="2"/>
      <c r="AG8">
        <f t="shared" si="4"/>
        <v>2002</v>
      </c>
      <c r="AI8" s="2"/>
      <c r="AJ8" s="2"/>
      <c r="AK8" s="2"/>
      <c r="AL8" s="2"/>
      <c r="AM8" s="2"/>
      <c r="AN8" s="2"/>
      <c r="AP8" s="2">
        <f t="shared" si="5"/>
        <v>3072.6649321440691</v>
      </c>
      <c r="AQ8" s="2"/>
      <c r="AR8" s="2"/>
      <c r="AS8" s="2"/>
      <c r="AT8" s="2"/>
      <c r="AV8" s="2">
        <f t="shared" si="8"/>
        <v>3032.3979874401025</v>
      </c>
      <c r="AW8" s="2"/>
      <c r="AX8" s="2"/>
      <c r="AY8" s="2"/>
      <c r="AZ8" s="2"/>
      <c r="BB8" s="8">
        <v>1.327891156462585E-2</v>
      </c>
      <c r="BD8" s="5">
        <f>+'Data BIS V SKM'!T12</f>
        <v>323407.5</v>
      </c>
      <c r="BF8" s="11"/>
      <c r="BG8" s="11"/>
      <c r="BH8" s="11"/>
      <c r="BI8" s="11"/>
      <c r="BJ8" s="11">
        <f t="shared" si="9"/>
        <v>980.70025212303494</v>
      </c>
      <c r="BK8" s="11"/>
      <c r="BL8" s="11"/>
      <c r="BN8" s="11"/>
      <c r="BO8" s="11"/>
      <c r="BP8" s="11"/>
      <c r="BQ8" s="11"/>
      <c r="BR8" s="11">
        <v>980.70025212303494</v>
      </c>
      <c r="BS8" s="11"/>
      <c r="BT8" s="11"/>
      <c r="BV8" s="2"/>
      <c r="BW8" s="2"/>
      <c r="BX8" s="2"/>
      <c r="BY8" s="2"/>
      <c r="BZ8" s="2"/>
      <c r="CA8" s="2"/>
      <c r="CB8" s="2"/>
      <c r="CD8" s="2"/>
      <c r="CE8" s="2"/>
      <c r="CF8" s="2"/>
      <c r="CG8" s="2"/>
      <c r="CH8" s="2">
        <f>1000*BR8/'Residential Per Pers'!$BD8</f>
        <v>3.0323979874401026</v>
      </c>
      <c r="CI8" s="2"/>
      <c r="CJ8" s="2"/>
    </row>
    <row r="9" spans="2:88" x14ac:dyDescent="0.25">
      <c r="B9">
        <f t="shared" si="6"/>
        <v>2003</v>
      </c>
      <c r="C9" s="9">
        <v>2983.7639446293492</v>
      </c>
      <c r="D9" s="9">
        <v>3032.5228592602289</v>
      </c>
      <c r="E9" s="2"/>
      <c r="F9" s="3"/>
      <c r="G9">
        <v>402.65989703684136</v>
      </c>
      <c r="H9">
        <v>4.7500000000000001E-2</v>
      </c>
      <c r="K9" s="2">
        <f t="shared" si="1"/>
        <v>8.0009408511668276</v>
      </c>
      <c r="L9" s="2">
        <f t="shared" si="2"/>
        <v>8.0171501788805539</v>
      </c>
      <c r="M9">
        <v>1</v>
      </c>
      <c r="P9">
        <f t="shared" si="3"/>
        <v>5.9980922776907279</v>
      </c>
      <c r="Q9">
        <f t="shared" si="3"/>
        <v>-3.0470255679415414</v>
      </c>
      <c r="T9" s="2"/>
      <c r="U9" s="2"/>
      <c r="V9" s="2"/>
      <c r="W9" s="2"/>
      <c r="X9" s="2"/>
      <c r="Y9" s="2"/>
      <c r="AA9" s="2">
        <f t="shared" si="7"/>
        <v>8.0459309594860144</v>
      </c>
      <c r="AB9" s="2"/>
      <c r="AC9" s="2"/>
      <c r="AD9" s="2"/>
      <c r="AE9" s="2"/>
      <c r="AF9" s="2"/>
      <c r="AG9">
        <f t="shared" si="4"/>
        <v>2003</v>
      </c>
      <c r="AI9" s="2"/>
      <c r="AJ9" s="2"/>
      <c r="AK9" s="2"/>
      <c r="AL9" s="2"/>
      <c r="AM9" s="2"/>
      <c r="AN9" s="2"/>
      <c r="AP9" s="2">
        <f t="shared" si="5"/>
        <v>3121.0693406990245</v>
      </c>
      <c r="AQ9" s="2"/>
      <c r="AR9" s="2"/>
      <c r="AS9" s="2"/>
      <c r="AT9" s="2"/>
      <c r="AV9" s="2">
        <f t="shared" si="8"/>
        <v>3070.8867169883747</v>
      </c>
      <c r="AW9" s="2"/>
      <c r="AX9" s="2"/>
      <c r="AY9" s="2"/>
      <c r="AZ9" s="2"/>
      <c r="BB9" s="8">
        <v>1.634141156462585E-2</v>
      </c>
      <c r="BD9" s="5">
        <f>+'Data BIS V SKM'!T13</f>
        <v>326411.25</v>
      </c>
      <c r="BF9" s="11"/>
      <c r="BG9" s="11"/>
      <c r="BH9" s="11"/>
      <c r="BI9" s="11"/>
      <c r="BJ9" s="11">
        <f t="shared" si="9"/>
        <v>1002.3719719005716</v>
      </c>
      <c r="BK9" s="11"/>
      <c r="BL9" s="11"/>
      <c r="BN9" s="11"/>
      <c r="BO9" s="11"/>
      <c r="BP9" s="11"/>
      <c r="BQ9" s="11"/>
      <c r="BR9" s="11">
        <v>1002.3719719005716</v>
      </c>
      <c r="BS9" s="11"/>
      <c r="BT9" s="11"/>
      <c r="BV9" s="2"/>
      <c r="BW9" s="2"/>
      <c r="BX9" s="2"/>
      <c r="BY9" s="2"/>
      <c r="BZ9" s="2"/>
      <c r="CA9" s="2"/>
      <c r="CB9" s="2"/>
      <c r="CD9" s="2"/>
      <c r="CE9" s="2"/>
      <c r="CF9" s="2"/>
      <c r="CG9" s="2"/>
      <c r="CH9" s="2">
        <f>1000*BR9/'Residential Per Pers'!$BD9</f>
        <v>3.0708867169883747</v>
      </c>
      <c r="CI9" s="2"/>
      <c r="CJ9" s="2"/>
    </row>
    <row r="10" spans="2:88" x14ac:dyDescent="0.25">
      <c r="B10">
        <f t="shared" si="6"/>
        <v>2004</v>
      </c>
      <c r="C10" s="9">
        <v>3062.149695749531</v>
      </c>
      <c r="D10" s="9">
        <v>3123.2338536683988</v>
      </c>
      <c r="E10" s="2"/>
      <c r="F10" s="3"/>
      <c r="G10">
        <v>396.01154216854621</v>
      </c>
      <c r="H10">
        <v>5.0584325396825398E-2</v>
      </c>
      <c r="K10" s="2">
        <f t="shared" si="1"/>
        <v>8.0268724632491342</v>
      </c>
      <c r="L10" s="2">
        <f t="shared" si="2"/>
        <v>8.0466242355774185</v>
      </c>
      <c r="M10">
        <v>1</v>
      </c>
      <c r="P10">
        <f t="shared" si="3"/>
        <v>5.9814433577199866</v>
      </c>
      <c r="Q10">
        <f t="shared" si="3"/>
        <v>-2.9841135254451276</v>
      </c>
      <c r="T10" s="2"/>
      <c r="U10" s="2"/>
      <c r="V10" s="2"/>
      <c r="W10" s="2"/>
      <c r="X10" s="2"/>
      <c r="Y10" s="2"/>
      <c r="AA10" s="2">
        <f t="shared" si="7"/>
        <v>8.0315964101658643</v>
      </c>
      <c r="AB10" s="2"/>
      <c r="AC10" s="2"/>
      <c r="AD10" s="2"/>
      <c r="AE10" s="2"/>
      <c r="AF10" s="2"/>
      <c r="AG10">
        <f t="shared" si="4"/>
        <v>2004</v>
      </c>
      <c r="AI10" s="2"/>
      <c r="AJ10" s="2"/>
      <c r="AK10" s="2"/>
      <c r="AL10" s="2"/>
      <c r="AM10" s="2"/>
      <c r="AN10" s="2"/>
      <c r="AP10" s="2">
        <f t="shared" si="5"/>
        <v>3076.6493491958081</v>
      </c>
      <c r="AQ10" s="2"/>
      <c r="AR10" s="2"/>
      <c r="AS10" s="2"/>
      <c r="AT10" s="2"/>
      <c r="AV10" s="2">
        <f t="shared" si="8"/>
        <v>3016.4762902727562</v>
      </c>
      <c r="AW10" s="2"/>
      <c r="AX10" s="2"/>
      <c r="AY10" s="2"/>
      <c r="AZ10" s="2"/>
      <c r="BB10" s="8">
        <v>1.994812925170068E-2</v>
      </c>
      <c r="BD10" s="5">
        <f>+'Data BIS V SKM'!T14</f>
        <v>328120.75</v>
      </c>
      <c r="BF10" s="11"/>
      <c r="BG10" s="11"/>
      <c r="BH10" s="11"/>
      <c r="BI10" s="11"/>
      <c r="BJ10" s="11">
        <f t="shared" si="9"/>
        <v>989.76846272151442</v>
      </c>
      <c r="BK10" s="11"/>
      <c r="BL10" s="11"/>
      <c r="BN10" s="11"/>
      <c r="BO10" s="11"/>
      <c r="BP10" s="11"/>
      <c r="BQ10" s="11"/>
      <c r="BR10" s="11">
        <v>989.76846272151442</v>
      </c>
      <c r="BS10" s="11"/>
      <c r="BT10" s="11"/>
      <c r="BV10" s="2"/>
      <c r="BW10" s="2"/>
      <c r="BX10" s="2"/>
      <c r="BY10" s="2"/>
      <c r="BZ10" s="2"/>
      <c r="CA10" s="2"/>
      <c r="CB10" s="2"/>
      <c r="CD10" s="2"/>
      <c r="CE10" s="2"/>
      <c r="CF10" s="2"/>
      <c r="CG10" s="2"/>
      <c r="CH10" s="2">
        <f>1000*BR10/'Residential Per Pers'!$BD10</f>
        <v>3.016476290272756</v>
      </c>
      <c r="CI10" s="2"/>
      <c r="CJ10" s="2"/>
    </row>
    <row r="11" spans="2:88" x14ac:dyDescent="0.25">
      <c r="B11">
        <f t="shared" si="6"/>
        <v>2005</v>
      </c>
      <c r="C11" s="9">
        <v>3079.3213317552641</v>
      </c>
      <c r="D11" s="9">
        <v>3163.752604443855</v>
      </c>
      <c r="E11" s="2"/>
      <c r="F11" s="3"/>
      <c r="G11">
        <v>408.92202682324165</v>
      </c>
      <c r="H11">
        <v>5.3323412698412703E-2</v>
      </c>
      <c r="K11" s="2">
        <f t="shared" si="1"/>
        <v>8.0324645048549836</v>
      </c>
      <c r="L11" s="2">
        <f t="shared" si="2"/>
        <v>8.0595141350731723</v>
      </c>
      <c r="M11">
        <v>1</v>
      </c>
      <c r="P11">
        <f t="shared" si="3"/>
        <v>6.01352449440407</v>
      </c>
      <c r="Q11">
        <f t="shared" si="3"/>
        <v>-2.9313797816235416</v>
      </c>
      <c r="T11" s="2"/>
      <c r="U11" s="2"/>
      <c r="V11" s="2"/>
      <c r="W11" s="2"/>
      <c r="X11" s="2"/>
      <c r="Y11" s="2"/>
      <c r="AA11" s="2">
        <f t="shared" si="7"/>
        <v>8.0592179397817603</v>
      </c>
      <c r="AB11" s="2"/>
      <c r="AC11" s="2"/>
      <c r="AD11" s="2"/>
      <c r="AE11" s="2"/>
      <c r="AF11" s="2"/>
      <c r="AG11">
        <f t="shared" si="4"/>
        <v>2005</v>
      </c>
      <c r="AI11" s="2"/>
      <c r="AJ11" s="2"/>
      <c r="AK11" s="2"/>
      <c r="AL11" s="2"/>
      <c r="AM11" s="2"/>
      <c r="AN11" s="2"/>
      <c r="AP11" s="2">
        <f t="shared" si="5"/>
        <v>3162.815654586143</v>
      </c>
      <c r="AQ11" s="2"/>
      <c r="AR11" s="2"/>
      <c r="AS11" s="2"/>
      <c r="AT11" s="2"/>
      <c r="AV11" s="2">
        <f t="shared" si="8"/>
        <v>3078.4093863396888</v>
      </c>
      <c r="AW11" s="2"/>
      <c r="AX11" s="2"/>
      <c r="AY11" s="2"/>
      <c r="AZ11" s="2"/>
      <c r="BB11" s="8">
        <v>2.7418792517006803E-2</v>
      </c>
      <c r="BD11" s="5">
        <f>+'Data BIS V SKM'!T15</f>
        <v>330236</v>
      </c>
      <c r="BF11" s="11"/>
      <c r="BG11" s="11"/>
      <c r="BH11" s="11"/>
      <c r="BI11" s="11"/>
      <c r="BJ11" s="11">
        <f t="shared" si="9"/>
        <v>1016.6016021072735</v>
      </c>
      <c r="BK11" s="11"/>
      <c r="BL11" s="11"/>
      <c r="BN11" s="11"/>
      <c r="BO11" s="11"/>
      <c r="BP11" s="11"/>
      <c r="BQ11" s="11"/>
      <c r="BR11" s="11">
        <v>1016.6016021072735</v>
      </c>
      <c r="BS11" s="11"/>
      <c r="BT11" s="11"/>
      <c r="BV11" s="2"/>
      <c r="BW11" s="2"/>
      <c r="BX11" s="2"/>
      <c r="BY11" s="2"/>
      <c r="BZ11" s="2"/>
      <c r="CA11" s="2"/>
      <c r="CB11" s="2"/>
      <c r="CD11" s="2"/>
      <c r="CE11" s="2"/>
      <c r="CF11" s="2"/>
      <c r="CG11" s="2"/>
      <c r="CH11" s="2">
        <f>1000*BR11/'Residential Per Pers'!$BD11</f>
        <v>3.0784093863396889</v>
      </c>
      <c r="CI11" s="2"/>
      <c r="CJ11" s="2"/>
    </row>
    <row r="12" spans="2:88" x14ac:dyDescent="0.25">
      <c r="B12">
        <f t="shared" si="6"/>
        <v>2006</v>
      </c>
      <c r="C12" s="9">
        <v>3137.2123528451843</v>
      </c>
      <c r="D12" s="9">
        <v>3248.4179941212933</v>
      </c>
      <c r="E12" s="2"/>
      <c r="F12" s="3"/>
      <c r="G12">
        <v>415.6773749685741</v>
      </c>
      <c r="H12">
        <v>5.5398550724637681E-2</v>
      </c>
      <c r="K12" s="2">
        <f t="shared" si="1"/>
        <v>8.0510898988690691</v>
      </c>
      <c r="L12" s="2">
        <f t="shared" si="2"/>
        <v>8.0859233857726984</v>
      </c>
      <c r="M12">
        <v>1</v>
      </c>
      <c r="P12">
        <f t="shared" si="3"/>
        <v>6.029909418432883</v>
      </c>
      <c r="Q12">
        <f t="shared" si="3"/>
        <v>-2.8932018457761792</v>
      </c>
      <c r="T12" s="2"/>
      <c r="U12" s="2"/>
      <c r="V12" s="2"/>
      <c r="W12" s="2"/>
      <c r="X12" s="2"/>
      <c r="Y12" s="2"/>
      <c r="AA12" s="2">
        <f t="shared" si="7"/>
        <v>8.0733251913038231</v>
      </c>
      <c r="AB12" s="2"/>
      <c r="AC12" s="2"/>
      <c r="AD12" s="2"/>
      <c r="AE12" s="2"/>
      <c r="AF12" s="2"/>
      <c r="AG12">
        <f t="shared" si="4"/>
        <v>2006</v>
      </c>
      <c r="AI12" s="2"/>
      <c r="AJ12" s="2"/>
      <c r="AK12" s="2"/>
      <c r="AL12" s="2"/>
      <c r="AM12" s="2"/>
      <c r="AN12" s="2"/>
      <c r="AP12" s="2">
        <f t="shared" si="5"/>
        <v>3207.7504988972114</v>
      </c>
      <c r="AQ12" s="2"/>
      <c r="AR12" s="2"/>
      <c r="AS12" s="2"/>
      <c r="AT12" s="2"/>
      <c r="AV12" s="2">
        <f t="shared" si="8"/>
        <v>3097.937059884996</v>
      </c>
      <c r="AW12" s="2"/>
      <c r="AX12" s="2"/>
      <c r="AY12" s="2"/>
      <c r="AZ12" s="2"/>
      <c r="BB12" s="8">
        <v>3.5447278911564628E-2</v>
      </c>
      <c r="BD12" s="5">
        <f>+'Data BIS V SKM'!T16</f>
        <v>333787.75</v>
      </c>
      <c r="BF12" s="11"/>
      <c r="BG12" s="11"/>
      <c r="BH12" s="11"/>
      <c r="BI12" s="11"/>
      <c r="BJ12" s="11">
        <f t="shared" si="9"/>
        <v>1034.0534408606279</v>
      </c>
      <c r="BK12" s="11"/>
      <c r="BL12" s="11"/>
      <c r="BN12" s="11"/>
      <c r="BO12" s="11"/>
      <c r="BP12" s="11"/>
      <c r="BQ12" s="11"/>
      <c r="BR12" s="11">
        <v>1034.0534408606279</v>
      </c>
      <c r="BS12" s="11"/>
      <c r="BT12" s="11"/>
      <c r="BV12" s="2"/>
      <c r="BW12" s="2"/>
      <c r="BX12" s="2"/>
      <c r="BY12" s="2"/>
      <c r="BZ12" s="2"/>
      <c r="CA12" s="2"/>
      <c r="CB12" s="2"/>
      <c r="CD12" s="2"/>
      <c r="CE12" s="2"/>
      <c r="CF12" s="2"/>
      <c r="CG12" s="2"/>
      <c r="CH12" s="2">
        <f>1000*BR12/'Residential Per Pers'!$BD12</f>
        <v>3.0979370598849956</v>
      </c>
      <c r="CI12" s="2"/>
      <c r="CJ12" s="2"/>
    </row>
    <row r="13" spans="2:88" x14ac:dyDescent="0.25">
      <c r="B13">
        <f t="shared" si="6"/>
        <v>2007</v>
      </c>
      <c r="C13" s="9">
        <v>3148.3644291777609</v>
      </c>
      <c r="D13" s="9">
        <v>3285.2419821988374</v>
      </c>
      <c r="E13" s="2"/>
      <c r="F13" s="3"/>
      <c r="G13">
        <v>431.50567104233619</v>
      </c>
      <c r="H13">
        <v>6.1401926877470363E-2</v>
      </c>
      <c r="K13" s="2">
        <f t="shared" si="1"/>
        <v>8.0546383681412532</v>
      </c>
      <c r="L13" s="2">
        <f t="shared" si="2"/>
        <v>8.0971955909755557</v>
      </c>
      <c r="M13">
        <v>1</v>
      </c>
      <c r="P13">
        <f t="shared" si="3"/>
        <v>6.0672806530613048</v>
      </c>
      <c r="Q13">
        <f t="shared" si="3"/>
        <v>-2.7903140619522322</v>
      </c>
      <c r="T13" s="2"/>
      <c r="U13" s="2"/>
      <c r="V13" s="2"/>
      <c r="W13" s="2"/>
      <c r="X13" s="2"/>
      <c r="Y13" s="2"/>
      <c r="AA13" s="2">
        <f t="shared" si="7"/>
        <v>8.1055014409871333</v>
      </c>
      <c r="AB13" s="2"/>
      <c r="AC13" s="2"/>
      <c r="AD13" s="2"/>
      <c r="AE13" s="2"/>
      <c r="AF13" s="2"/>
      <c r="AG13">
        <f t="shared" si="4"/>
        <v>2007</v>
      </c>
      <c r="AI13" s="2"/>
      <c r="AJ13" s="2"/>
      <c r="AK13" s="2"/>
      <c r="AL13" s="2"/>
      <c r="AM13" s="2"/>
      <c r="AN13" s="2"/>
      <c r="AP13" s="2">
        <f t="shared" si="5"/>
        <v>3312.6423434776989</v>
      </c>
      <c r="AQ13" s="2"/>
      <c r="AR13" s="2"/>
      <c r="AS13" s="2"/>
      <c r="AT13" s="2"/>
      <c r="AV13" s="2">
        <f t="shared" si="8"/>
        <v>3174.6231715365957</v>
      </c>
      <c r="AW13" s="2"/>
      <c r="AX13" s="2"/>
      <c r="AY13" s="2"/>
      <c r="AZ13" s="2"/>
      <c r="BB13" s="8">
        <v>4.3475765306122446E-2</v>
      </c>
      <c r="BD13" s="5">
        <f>+'Data BIS V SKM'!T17</f>
        <v>339529</v>
      </c>
      <c r="BF13" s="11"/>
      <c r="BG13" s="11"/>
      <c r="BH13" s="11"/>
      <c r="BI13" s="11"/>
      <c r="BJ13" s="11">
        <f t="shared" si="9"/>
        <v>1077.8766308086488</v>
      </c>
      <c r="BK13" s="11"/>
      <c r="BL13" s="11"/>
      <c r="BN13" s="11"/>
      <c r="BO13" s="11"/>
      <c r="BP13" s="11"/>
      <c r="BQ13" s="11"/>
      <c r="BR13" s="11">
        <v>1077.8766308086488</v>
      </c>
      <c r="BS13" s="11"/>
      <c r="BT13" s="11"/>
      <c r="BV13" s="2"/>
      <c r="BW13" s="2"/>
      <c r="BX13" s="2"/>
      <c r="BY13" s="2"/>
      <c r="BZ13" s="2"/>
      <c r="CA13" s="2"/>
      <c r="CB13" s="2"/>
      <c r="CD13" s="2"/>
      <c r="CE13" s="2"/>
      <c r="CF13" s="2"/>
      <c r="CG13" s="2"/>
      <c r="CH13" s="2">
        <f>1000*BR13/'Residential Per Pers'!$BD13</f>
        <v>3.1746231715365951</v>
      </c>
      <c r="CI13" s="2"/>
      <c r="CJ13" s="2"/>
    </row>
    <row r="14" spans="2:88" x14ac:dyDescent="0.25">
      <c r="B14">
        <f t="shared" si="6"/>
        <v>2008</v>
      </c>
      <c r="C14" s="9">
        <v>3109.9183089308685</v>
      </c>
      <c r="D14" s="9">
        <v>3283.3015436304804</v>
      </c>
      <c r="E14" s="2"/>
      <c r="F14" s="3"/>
      <c r="G14">
        <v>426.9725813740057</v>
      </c>
      <c r="H14">
        <v>6.8204212144191464E-2</v>
      </c>
      <c r="K14" s="2">
        <f t="shared" si="1"/>
        <v>8.0423517376034894</v>
      </c>
      <c r="L14" s="2">
        <f t="shared" si="2"/>
        <v>8.0966047633081519</v>
      </c>
      <c r="M14">
        <v>1</v>
      </c>
      <c r="P14">
        <f t="shared" si="3"/>
        <v>6.0567197989280679</v>
      </c>
      <c r="Q14">
        <f t="shared" si="3"/>
        <v>-2.6852489543948566</v>
      </c>
      <c r="T14" s="2"/>
      <c r="U14" s="2"/>
      <c r="V14" s="2"/>
      <c r="W14" s="2"/>
      <c r="X14" s="2"/>
      <c r="Y14" s="2"/>
      <c r="AA14" s="2">
        <f t="shared" si="7"/>
        <v>8.096408653905339</v>
      </c>
      <c r="AB14" s="2"/>
      <c r="AC14" s="2"/>
      <c r="AD14" s="2"/>
      <c r="AE14" s="2"/>
      <c r="AF14" s="2"/>
      <c r="AG14">
        <f t="shared" si="4"/>
        <v>2008</v>
      </c>
      <c r="AI14" s="2"/>
      <c r="AJ14" s="2"/>
      <c r="AK14" s="2"/>
      <c r="AL14" s="2"/>
      <c r="AM14" s="2"/>
      <c r="AN14" s="2"/>
      <c r="AP14" s="2">
        <f t="shared" si="5"/>
        <v>3282.6577204574573</v>
      </c>
      <c r="AQ14" s="2"/>
      <c r="AR14" s="2"/>
      <c r="AS14" s="2"/>
      <c r="AT14" s="2"/>
      <c r="AV14" s="2">
        <f t="shared" si="8"/>
        <v>3109.3084845066141</v>
      </c>
      <c r="AW14" s="2"/>
      <c r="AX14" s="2"/>
      <c r="AY14" s="2"/>
      <c r="AZ14" s="2"/>
      <c r="BB14" s="8">
        <v>5.5751700680272104E-2</v>
      </c>
      <c r="BD14" s="5">
        <f>+'Data BIS V SKM'!T18</f>
        <v>345590.5</v>
      </c>
      <c r="BF14" s="11"/>
      <c r="BG14" s="11"/>
      <c r="BH14" s="11"/>
      <c r="BI14" s="11"/>
      <c r="BJ14" s="11">
        <f t="shared" si="9"/>
        <v>1074.547473814883</v>
      </c>
      <c r="BK14" s="11"/>
      <c r="BL14" s="11"/>
      <c r="BN14" s="11"/>
      <c r="BO14" s="11"/>
      <c r="BP14" s="11"/>
      <c r="BQ14" s="11"/>
      <c r="BR14" s="11">
        <v>1074.547473814883</v>
      </c>
      <c r="BS14" s="11"/>
      <c r="BT14" s="11"/>
      <c r="BV14" s="2"/>
      <c r="BW14" s="2"/>
      <c r="BX14" s="2"/>
      <c r="BY14" s="2"/>
      <c r="BZ14" s="2"/>
      <c r="CA14" s="2"/>
      <c r="CB14" s="2"/>
      <c r="CD14" s="2"/>
      <c r="CE14" s="2"/>
      <c r="CF14" s="2"/>
      <c r="CG14" s="2"/>
      <c r="CH14" s="2">
        <f>1000*BR14/'Residential Per Pers'!$BD14</f>
        <v>3.1093084845066143</v>
      </c>
      <c r="CI14" s="2"/>
      <c r="CJ14" s="2"/>
    </row>
    <row r="15" spans="2:88" x14ac:dyDescent="0.25">
      <c r="B15">
        <f t="shared" si="6"/>
        <v>2009</v>
      </c>
      <c r="C15" s="9">
        <v>3044.5135384860223</v>
      </c>
      <c r="D15" s="9">
        <v>3251.6245974449093</v>
      </c>
      <c r="E15" s="2"/>
      <c r="F15" s="3"/>
      <c r="G15">
        <v>423.08046614801464</v>
      </c>
      <c r="H15">
        <v>4.7739667253865227E-2</v>
      </c>
      <c r="K15" s="2">
        <f t="shared" si="1"/>
        <v>8.0210964099055584</v>
      </c>
      <c r="L15" s="2">
        <f t="shared" si="2"/>
        <v>8.0869100265642224</v>
      </c>
      <c r="M15">
        <v>1</v>
      </c>
      <c r="P15">
        <f t="shared" si="3"/>
        <v>6.0475623882556304</v>
      </c>
      <c r="Q15">
        <f t="shared" si="3"/>
        <v>-3.041992628060862</v>
      </c>
      <c r="T15" s="2"/>
      <c r="U15" s="2"/>
      <c r="V15" s="2"/>
      <c r="W15" s="2"/>
      <c r="X15" s="2"/>
      <c r="Y15" s="2"/>
      <c r="AA15" s="2">
        <f t="shared" si="7"/>
        <v>8.088524217247608</v>
      </c>
      <c r="AB15" s="2"/>
      <c r="AC15" s="2"/>
      <c r="AD15" s="2"/>
      <c r="AE15" s="2"/>
      <c r="AF15" s="2"/>
      <c r="AG15">
        <f t="shared" si="4"/>
        <v>2009</v>
      </c>
      <c r="AI15" s="2"/>
      <c r="AJ15" s="2"/>
      <c r="AK15" s="2"/>
      <c r="AL15" s="2"/>
      <c r="AM15" s="2"/>
      <c r="AN15" s="2"/>
      <c r="AP15" s="2">
        <f t="shared" si="5"/>
        <v>3256.8775780915803</v>
      </c>
      <c r="AQ15" s="2"/>
      <c r="AR15" s="2"/>
      <c r="AS15" s="2"/>
      <c r="AT15" s="2"/>
      <c r="AV15" s="2">
        <f t="shared" si="8"/>
        <v>3049.4319324201688</v>
      </c>
      <c r="AW15" s="2"/>
      <c r="AX15" s="2"/>
      <c r="AY15" s="2"/>
      <c r="AZ15" s="2"/>
      <c r="BB15" s="8">
        <v>6.8027636054421747E-2</v>
      </c>
      <c r="BD15" s="5">
        <f>+'Data BIS V SKM'!T19</f>
        <v>352195</v>
      </c>
      <c r="BF15" s="11"/>
      <c r="BG15" s="11"/>
      <c r="BH15" s="11"/>
      <c r="BI15" s="11"/>
      <c r="BJ15" s="11">
        <f t="shared" si="9"/>
        <v>1073.9946794387215</v>
      </c>
      <c r="BK15" s="11"/>
      <c r="BL15" s="11"/>
      <c r="BN15" s="11"/>
      <c r="BO15" s="11"/>
      <c r="BP15" s="11"/>
      <c r="BQ15" s="11"/>
      <c r="BR15" s="11">
        <v>1073.9946794387215</v>
      </c>
      <c r="BS15" s="11"/>
      <c r="BT15" s="11"/>
      <c r="BV15" s="2"/>
      <c r="BW15" s="2"/>
      <c r="BX15" s="2"/>
      <c r="BY15" s="2"/>
      <c r="BZ15" s="2"/>
      <c r="CA15" s="2"/>
      <c r="CB15" s="2"/>
      <c r="CD15" s="2"/>
      <c r="CE15" s="2"/>
      <c r="CF15" s="2"/>
      <c r="CG15" s="2"/>
      <c r="CH15" s="2">
        <f>1000*BR15/'Residential Per Pers'!$BD15</f>
        <v>3.0494319324201689</v>
      </c>
      <c r="CI15" s="2"/>
      <c r="CJ15" s="2"/>
    </row>
    <row r="16" spans="2:88" x14ac:dyDescent="0.25">
      <c r="B16">
        <f t="shared" si="6"/>
        <v>2010</v>
      </c>
      <c r="C16" s="9">
        <v>3031.3507884636088</v>
      </c>
      <c r="D16" s="9">
        <v>3276.8206049896303</v>
      </c>
      <c r="E16" s="2"/>
      <c r="F16" s="3"/>
      <c r="G16">
        <v>416.62118973619175</v>
      </c>
      <c r="H16">
        <v>3.6752976190476197E-2</v>
      </c>
      <c r="K16" s="2">
        <f t="shared" si="1"/>
        <v>8.0167636039354591</v>
      </c>
      <c r="L16" s="2">
        <f t="shared" si="2"/>
        <v>8.0946289035291716</v>
      </c>
      <c r="M16">
        <v>1</v>
      </c>
      <c r="P16">
        <f t="shared" si="3"/>
        <v>6.0321773910383882</v>
      </c>
      <c r="Q16">
        <f t="shared" si="3"/>
        <v>-3.3035360718275188</v>
      </c>
      <c r="T16" s="2"/>
      <c r="U16" s="2"/>
      <c r="V16" s="2"/>
      <c r="W16" s="2"/>
      <c r="X16" s="2"/>
      <c r="Y16" s="2"/>
      <c r="AA16" s="2">
        <f t="shared" si="7"/>
        <v>8.0752778924536557</v>
      </c>
      <c r="AB16" s="2"/>
      <c r="AC16" s="2"/>
      <c r="AD16" s="2"/>
      <c r="AE16" s="2"/>
      <c r="AF16" s="2"/>
      <c r="AG16">
        <f t="shared" si="4"/>
        <v>2010</v>
      </c>
      <c r="AI16" s="2"/>
      <c r="AJ16" s="2"/>
      <c r="AK16" s="2"/>
      <c r="AL16" s="2"/>
      <c r="AM16" s="2"/>
      <c r="AN16" s="2"/>
      <c r="AP16" s="2">
        <f t="shared" si="5"/>
        <v>3214.0203966107397</v>
      </c>
      <c r="AQ16" s="2"/>
      <c r="AR16" s="2"/>
      <c r="AS16" s="2"/>
      <c r="AT16" s="2"/>
      <c r="AV16" s="2">
        <f t="shared" si="8"/>
        <v>2973.2550047349687</v>
      </c>
      <c r="AW16" s="2"/>
      <c r="AX16" s="2"/>
      <c r="AY16" s="2"/>
      <c r="AZ16" s="2"/>
      <c r="BB16" s="8">
        <v>8.0977040816326534E-2</v>
      </c>
      <c r="BD16" s="5">
        <f>+'Data BIS V SKM'!T20</f>
        <v>359074</v>
      </c>
      <c r="BF16" s="11"/>
      <c r="BG16" s="11"/>
      <c r="BH16" s="11"/>
      <c r="BI16" s="11"/>
      <c r="BJ16" s="11">
        <f t="shared" si="9"/>
        <v>1067.618567570204</v>
      </c>
      <c r="BK16" s="11"/>
      <c r="BL16" s="11"/>
      <c r="BN16" s="11"/>
      <c r="BO16" s="11"/>
      <c r="BP16" s="11"/>
      <c r="BQ16" s="11"/>
      <c r="BR16" s="11">
        <v>1067.618567570204</v>
      </c>
      <c r="BS16" s="11"/>
      <c r="BT16" s="11"/>
      <c r="BV16" s="2"/>
      <c r="BW16" s="2"/>
      <c r="BX16" s="2"/>
      <c r="BY16" s="2"/>
      <c r="BZ16" s="2"/>
      <c r="CA16" s="2"/>
      <c r="CB16" s="2"/>
      <c r="CD16" s="2"/>
      <c r="CE16" s="2"/>
      <c r="CF16" s="2"/>
      <c r="CG16" s="2"/>
      <c r="CH16" s="2">
        <f>1000*BR16/'Residential Per Pers'!$BD16</f>
        <v>2.9732550047349688</v>
      </c>
      <c r="CI16" s="2"/>
      <c r="CJ16" s="2"/>
    </row>
    <row r="17" spans="2:88" x14ac:dyDescent="0.25">
      <c r="B17">
        <f t="shared" si="6"/>
        <v>2011</v>
      </c>
      <c r="C17" s="9">
        <v>2950.2226060288885</v>
      </c>
      <c r="D17" s="9">
        <v>3226.5638864992993</v>
      </c>
      <c r="E17" s="2"/>
      <c r="F17" s="3"/>
      <c r="G17">
        <v>418.098818375088</v>
      </c>
      <c r="H17">
        <v>4.6647916666666664E-2</v>
      </c>
      <c r="K17" s="2">
        <f t="shared" si="1"/>
        <v>7.9896359061577371</v>
      </c>
      <c r="L17" s="2">
        <f t="shared" si="2"/>
        <v>8.0791730377375295</v>
      </c>
      <c r="M17">
        <v>1</v>
      </c>
      <c r="P17">
        <f t="shared" si="3"/>
        <v>6.0357178121807884</v>
      </c>
      <c r="Q17">
        <f t="shared" si="3"/>
        <v>-3.0651270114927351</v>
      </c>
      <c r="T17" s="2"/>
      <c r="U17" s="2"/>
      <c r="V17" s="2"/>
      <c r="W17" s="2"/>
      <c r="X17" s="2"/>
      <c r="Y17" s="2"/>
      <c r="AA17" s="2">
        <f t="shared" si="7"/>
        <v>8.0783261587417421</v>
      </c>
      <c r="AB17" s="2"/>
      <c r="AC17" s="2"/>
      <c r="AD17" s="2"/>
      <c r="AE17" s="2"/>
      <c r="AF17" s="2"/>
      <c r="AG17">
        <f t="shared" si="4"/>
        <v>2011</v>
      </c>
      <c r="AI17" s="2"/>
      <c r="AJ17" s="2"/>
      <c r="AK17" s="2"/>
      <c r="AL17" s="2"/>
      <c r="AM17" s="2"/>
      <c r="AN17" s="2"/>
      <c r="AP17" s="2">
        <f t="shared" si="5"/>
        <v>3223.832534041017</v>
      </c>
      <c r="AQ17" s="2"/>
      <c r="AR17" s="2"/>
      <c r="AS17" s="2"/>
      <c r="AT17" s="2"/>
      <c r="AV17" s="2">
        <f t="shared" si="8"/>
        <v>2947.7251821281334</v>
      </c>
      <c r="AW17" s="2"/>
      <c r="AX17" s="2"/>
      <c r="AY17" s="2"/>
      <c r="AZ17" s="2"/>
      <c r="BB17" s="8">
        <v>9.3667942176870744E-2</v>
      </c>
      <c r="BD17" s="5">
        <f>+'Data BIS V SKM'!T21</f>
        <v>365598.25</v>
      </c>
      <c r="BF17" s="11"/>
      <c r="BG17" s="11"/>
      <c r="BH17" s="11"/>
      <c r="BI17" s="11"/>
      <c r="BJ17" s="11">
        <f t="shared" si="9"/>
        <v>1077.6831680669768</v>
      </c>
      <c r="BK17" s="11"/>
      <c r="BL17" s="11"/>
      <c r="BN17" s="11"/>
      <c r="BO17" s="11"/>
      <c r="BP17" s="11"/>
      <c r="BQ17" s="11"/>
      <c r="BR17" s="11">
        <v>1077.6831680669768</v>
      </c>
      <c r="BS17" s="11"/>
      <c r="BT17" s="11"/>
      <c r="BV17" s="2"/>
      <c r="BW17" s="2"/>
      <c r="BX17" s="2"/>
      <c r="BY17" s="2"/>
      <c r="BZ17" s="2"/>
      <c r="CA17" s="2"/>
      <c r="CB17" s="2"/>
      <c r="CD17" s="2"/>
      <c r="CE17" s="2"/>
      <c r="CF17" s="2"/>
      <c r="CG17" s="2"/>
      <c r="CH17" s="2">
        <f>1000*BR17/'Residential Per Pers'!$BD17</f>
        <v>2.9477251821281332</v>
      </c>
      <c r="CI17" s="2"/>
      <c r="CJ17" s="2"/>
    </row>
    <row r="18" spans="2:88" x14ac:dyDescent="0.25">
      <c r="B18">
        <f t="shared" si="6"/>
        <v>2012</v>
      </c>
      <c r="C18" s="9">
        <v>2912.2366866587213</v>
      </c>
      <c r="D18" s="9">
        <v>3226.1162442591763</v>
      </c>
      <c r="E18" s="2"/>
      <c r="F18" s="3"/>
      <c r="G18">
        <v>412.60298403008676</v>
      </c>
      <c r="H18">
        <v>4.3435416666666671E-2</v>
      </c>
      <c r="K18" s="2">
        <f t="shared" si="1"/>
        <v>7.9766766857727323</v>
      </c>
      <c r="L18" s="2">
        <f t="shared" si="2"/>
        <v>8.0790342915942919</v>
      </c>
      <c r="M18">
        <v>1</v>
      </c>
      <c r="P18">
        <f t="shared" si="3"/>
        <v>6.0224858328700552</v>
      </c>
      <c r="Q18">
        <f t="shared" si="3"/>
        <v>-3.1364801184380173</v>
      </c>
      <c r="T18" s="2"/>
      <c r="U18" s="2"/>
      <c r="V18" s="2"/>
      <c r="W18" s="2"/>
      <c r="X18" s="2"/>
      <c r="Y18" s="2"/>
      <c r="AA18" s="2">
        <f t="shared" si="7"/>
        <v>8.0669335602809262</v>
      </c>
      <c r="AB18" s="2"/>
      <c r="AC18" s="2"/>
      <c r="AD18" s="2"/>
      <c r="AE18" s="2"/>
      <c r="AF18" s="2"/>
      <c r="AG18">
        <f t="shared" si="4"/>
        <v>2012</v>
      </c>
      <c r="AI18" s="2"/>
      <c r="AJ18" s="2"/>
      <c r="AK18" s="2"/>
      <c r="AL18" s="2"/>
      <c r="AM18" s="2"/>
      <c r="AN18" s="2"/>
      <c r="AP18" s="2">
        <f t="shared" si="5"/>
        <v>3187.3131249486246</v>
      </c>
      <c r="AQ18" s="2"/>
      <c r="AR18" s="2"/>
      <c r="AS18" s="2"/>
      <c r="AT18" s="2"/>
      <c r="AV18" s="2">
        <f t="shared" si="8"/>
        <v>2877.208851622066</v>
      </c>
      <c r="AW18" s="2"/>
      <c r="AX18" s="2"/>
      <c r="AY18" s="2"/>
      <c r="AZ18" s="2"/>
      <c r="BB18" s="8">
        <v>0.10777954931972791</v>
      </c>
      <c r="BD18" s="5">
        <f>+'Data BIS V SKM'!T22</f>
        <v>372346</v>
      </c>
      <c r="BF18" s="11"/>
      <c r="BG18" s="11"/>
      <c r="BH18" s="11"/>
      <c r="BI18" s="11"/>
      <c r="BJ18" s="11">
        <f t="shared" si="9"/>
        <v>1071.3172070660698</v>
      </c>
      <c r="BK18" s="11"/>
      <c r="BL18" s="11"/>
      <c r="BN18" s="11"/>
      <c r="BO18" s="11"/>
      <c r="BP18" s="11"/>
      <c r="BQ18" s="11"/>
      <c r="BR18" s="11">
        <v>1071.3172070660698</v>
      </c>
      <c r="BS18" s="11"/>
      <c r="BT18" s="11"/>
      <c r="BV18" s="2"/>
      <c r="BW18" s="2"/>
      <c r="BX18" s="2"/>
      <c r="BY18" s="2"/>
      <c r="BZ18" s="2"/>
      <c r="CA18" s="2"/>
      <c r="CB18" s="2"/>
      <c r="CD18" s="2"/>
      <c r="CE18" s="2"/>
      <c r="CF18" s="2"/>
      <c r="CG18" s="2"/>
      <c r="CH18" s="2">
        <f>1000*BR18/'Residential Per Pers'!$BD18</f>
        <v>2.8772088516220662</v>
      </c>
      <c r="CI18" s="2"/>
      <c r="CJ18" s="2"/>
    </row>
    <row r="19" spans="2:88" x14ac:dyDescent="0.25">
      <c r="B19">
        <f t="shared" si="6"/>
        <v>2013</v>
      </c>
      <c r="C19" s="9">
        <v>2758.2210541470204</v>
      </c>
      <c r="D19" s="9">
        <v>3094.4238082164511</v>
      </c>
      <c r="E19" s="2"/>
      <c r="F19" s="3"/>
      <c r="G19">
        <v>409.87531422976821</v>
      </c>
      <c r="H19">
        <v>3.1337499999999997E-2</v>
      </c>
      <c r="K19" s="2">
        <f t="shared" si="1"/>
        <v>7.9223412053034759</v>
      </c>
      <c r="L19" s="2">
        <f t="shared" si="2"/>
        <v>8.0373569991979821</v>
      </c>
      <c r="M19">
        <v>1</v>
      </c>
      <c r="P19">
        <f t="shared" si="3"/>
        <v>6.0158530018123217</v>
      </c>
      <c r="Q19">
        <f t="shared" si="3"/>
        <v>-3.4629398154977253</v>
      </c>
      <c r="T19" s="2"/>
      <c r="U19" s="2"/>
      <c r="V19" s="2"/>
      <c r="W19" s="2"/>
      <c r="X19" s="2"/>
      <c r="Y19" s="2"/>
      <c r="AA19" s="2">
        <f t="shared" si="7"/>
        <v>8.0612227607758271</v>
      </c>
      <c r="AB19" s="2"/>
      <c r="AC19" s="2"/>
      <c r="AD19" s="2"/>
      <c r="AE19" s="2"/>
      <c r="AF19" s="2"/>
      <c r="AG19">
        <f t="shared" si="4"/>
        <v>2013</v>
      </c>
      <c r="AI19" s="2"/>
      <c r="AJ19" s="2"/>
      <c r="AK19" s="2"/>
      <c r="AL19" s="2"/>
      <c r="AM19" s="2"/>
      <c r="AN19" s="2"/>
      <c r="AP19" s="2">
        <f t="shared" si="5"/>
        <v>3169.1628942245025</v>
      </c>
      <c r="AQ19" s="2"/>
      <c r="AR19" s="2"/>
      <c r="AS19" s="2"/>
      <c r="AT19" s="2"/>
      <c r="AV19" s="2">
        <f t="shared" si="8"/>
        <v>2824.8398928619181</v>
      </c>
      <c r="AW19" s="2"/>
      <c r="AX19" s="2"/>
      <c r="AY19" s="2"/>
      <c r="AZ19" s="2"/>
      <c r="BB19" s="8">
        <v>0.12189115646258504</v>
      </c>
      <c r="BD19" s="5">
        <f>+'Data BIS V SKM'!T23</f>
        <v>379446.33333333331</v>
      </c>
      <c r="BF19" s="11"/>
      <c r="BG19" s="11"/>
      <c r="BH19" s="11"/>
      <c r="BI19" s="11"/>
      <c r="BJ19" s="11">
        <f t="shared" si="9"/>
        <v>1071.875139600181</v>
      </c>
      <c r="BK19" s="11"/>
      <c r="BL19" s="11"/>
      <c r="BN19" s="11"/>
      <c r="BO19" s="11"/>
      <c r="BP19" s="11"/>
      <c r="BQ19" s="11"/>
      <c r="BR19" s="11">
        <v>1071.875139600181</v>
      </c>
      <c r="BS19" s="11"/>
      <c r="BT19" s="11"/>
      <c r="BV19" s="2"/>
      <c r="BW19" s="2"/>
      <c r="BX19" s="2"/>
      <c r="BY19" s="2"/>
      <c r="BZ19" s="2"/>
      <c r="CA19" s="2"/>
      <c r="CB19" s="2"/>
      <c r="CD19" s="2"/>
      <c r="CE19" s="2"/>
      <c r="CF19" s="2"/>
      <c r="CG19" s="2"/>
      <c r="CH19" s="2">
        <f>1000*BR19/'Residential Per Pers'!$BD19</f>
        <v>2.8248398928619185</v>
      </c>
      <c r="CI19" s="2"/>
      <c r="CJ19" s="2"/>
    </row>
    <row r="20" spans="2:88" x14ac:dyDescent="0.25">
      <c r="B20" s="4">
        <f t="shared" si="6"/>
        <v>2014</v>
      </c>
      <c r="E20" s="13"/>
      <c r="F20" s="7"/>
      <c r="G20" s="13">
        <f>+'Data BIS V SKM'!AF24</f>
        <v>405.12654163710914</v>
      </c>
      <c r="H20" s="14">
        <f>+'Data BIS V SKM'!Y24</f>
        <v>2.6249999999999999E-2</v>
      </c>
      <c r="J20" s="16"/>
      <c r="M20">
        <v>1</v>
      </c>
      <c r="P20">
        <f t="shared" si="3"/>
        <v>6.0041994667913654</v>
      </c>
      <c r="Q20">
        <f t="shared" si="3"/>
        <v>-3.6400892899445045</v>
      </c>
      <c r="T20" s="2"/>
      <c r="U20" s="2"/>
      <c r="V20" s="2"/>
      <c r="W20" s="2"/>
      <c r="X20" s="2"/>
      <c r="Y20" s="2"/>
      <c r="AA20" s="2">
        <f t="shared" si="7"/>
        <v>8.0511891866577727</v>
      </c>
      <c r="AB20" s="2"/>
      <c r="AC20" s="2"/>
      <c r="AD20" s="2"/>
      <c r="AE20" s="2"/>
      <c r="AG20">
        <f t="shared" si="4"/>
        <v>2014</v>
      </c>
      <c r="AI20" s="2"/>
      <c r="AJ20" s="2"/>
      <c r="AK20" s="2"/>
      <c r="AL20" s="2"/>
      <c r="AM20" s="2"/>
      <c r="AN20" s="2"/>
      <c r="AP20" s="2">
        <f t="shared" ref="AP20:AP25" si="10">EXP(AA20)</f>
        <v>3137.5238551863267</v>
      </c>
      <c r="AQ20" s="2"/>
      <c r="AR20" s="2"/>
      <c r="AS20" s="2"/>
      <c r="AT20" s="2"/>
      <c r="AV20" s="2">
        <f t="shared" si="8"/>
        <v>2734.602693105679</v>
      </c>
      <c r="AW20" s="2"/>
      <c r="AX20" s="2"/>
      <c r="AY20" s="2"/>
      <c r="BB20" s="8">
        <v>0.14734175574991901</v>
      </c>
      <c r="BD20" s="5">
        <f>+'Data BIS V SKM'!T24</f>
        <v>384397.70516263571</v>
      </c>
      <c r="BF20" s="11"/>
      <c r="BG20" s="11"/>
      <c r="BH20" s="11"/>
      <c r="BI20" s="11"/>
      <c r="BJ20" s="11">
        <f t="shared" si="9"/>
        <v>1051.1749997613863</v>
      </c>
      <c r="BK20" s="11"/>
      <c r="BL20" s="11"/>
      <c r="BN20" s="11"/>
      <c r="BO20" s="11"/>
      <c r="BP20" s="11"/>
      <c r="BQ20" s="11"/>
      <c r="BR20" s="11">
        <v>1050.5427195789905</v>
      </c>
      <c r="BS20" s="11"/>
      <c r="BT20" s="11"/>
      <c r="BV20" s="2"/>
      <c r="BW20" s="2"/>
      <c r="BX20" s="2"/>
      <c r="BY20" s="2"/>
      <c r="BZ20" s="2"/>
      <c r="CA20" s="2"/>
      <c r="CB20" s="2"/>
      <c r="CD20" s="2"/>
      <c r="CE20" s="2"/>
      <c r="CF20" s="2"/>
      <c r="CG20" s="2"/>
      <c r="CH20" s="2">
        <f>1000*BR20/'Residential Per Pers'!$BD20</f>
        <v>2.7329578336959996</v>
      </c>
      <c r="CI20" s="2"/>
      <c r="CJ20" s="2"/>
    </row>
    <row r="21" spans="2:88" x14ac:dyDescent="0.25">
      <c r="B21" s="4">
        <f t="shared" si="6"/>
        <v>2015</v>
      </c>
      <c r="E21" s="13"/>
      <c r="F21" s="6"/>
      <c r="G21" s="13">
        <f>+'Data BIS V SKM'!AF25</f>
        <v>398.22640091665056</v>
      </c>
      <c r="H21" s="14">
        <f>+'Data BIS V SKM'!Y25</f>
        <v>2.6249999999999999E-2</v>
      </c>
      <c r="I21" s="17"/>
      <c r="J21" s="16"/>
      <c r="M21">
        <v>1</v>
      </c>
      <c r="P21">
        <f t="shared" si="3"/>
        <v>5.9870206900768324</v>
      </c>
      <c r="Q21">
        <f t="shared" si="3"/>
        <v>-3.6400892899445045</v>
      </c>
      <c r="T21" s="2"/>
      <c r="U21" s="2"/>
      <c r="V21" s="2"/>
      <c r="W21" s="2"/>
      <c r="X21" s="2"/>
      <c r="Y21" s="2"/>
      <c r="AA21" s="2">
        <f t="shared" si="7"/>
        <v>8.0363984361161691</v>
      </c>
      <c r="AB21" s="2"/>
      <c r="AC21" s="2"/>
      <c r="AD21" s="2"/>
      <c r="AE21" s="2"/>
      <c r="AG21">
        <f t="shared" si="4"/>
        <v>2015</v>
      </c>
      <c r="AI21" s="2"/>
      <c r="AJ21" s="2"/>
      <c r="AK21" s="2"/>
      <c r="AL21" s="2"/>
      <c r="AM21" s="2"/>
      <c r="AN21" s="2"/>
      <c r="AP21" s="2">
        <f t="shared" si="10"/>
        <v>3091.459028985385</v>
      </c>
      <c r="AQ21" s="2"/>
      <c r="AR21" s="2"/>
      <c r="AS21" s="2"/>
      <c r="AT21" s="2"/>
      <c r="AV21" s="2">
        <f t="shared" si="8"/>
        <v>2626.8900731853219</v>
      </c>
      <c r="AW21" s="2"/>
      <c r="AX21" s="2"/>
      <c r="AY21" s="2"/>
      <c r="BB21" s="8">
        <v>0.17685131195335274</v>
      </c>
      <c r="BD21" s="5">
        <f>+'Data BIS V SKM'!T25</f>
        <v>389121.27776103979</v>
      </c>
      <c r="BF21" s="11"/>
      <c r="BG21" s="11"/>
      <c r="BH21" s="11"/>
      <c r="BI21" s="11"/>
      <c r="BJ21" s="11">
        <f t="shared" si="9"/>
        <v>1022.1788218156638</v>
      </c>
      <c r="BK21" s="11"/>
      <c r="BL21" s="11"/>
      <c r="BN21" s="11"/>
      <c r="BO21" s="11"/>
      <c r="BP21" s="11"/>
      <c r="BQ21" s="11"/>
      <c r="BR21" s="11">
        <v>1018.9454880278897</v>
      </c>
      <c r="BS21" s="11"/>
      <c r="BT21" s="11"/>
      <c r="BV21" s="2"/>
      <c r="BW21" s="2"/>
      <c r="BX21" s="2"/>
      <c r="BY21" s="2"/>
      <c r="BZ21" s="2"/>
      <c r="CA21" s="2"/>
      <c r="CB21" s="2"/>
      <c r="CD21" s="2"/>
      <c r="CE21" s="2"/>
      <c r="CF21" s="2"/>
      <c r="CG21" s="2"/>
      <c r="CH21" s="2">
        <f>1000*BR21/'Residential Per Pers'!$BD21</f>
        <v>2.6185807517152182</v>
      </c>
      <c r="CI21" s="2"/>
      <c r="CJ21" s="2"/>
    </row>
    <row r="22" spans="2:88" x14ac:dyDescent="0.25">
      <c r="B22" s="4">
        <f t="shared" si="6"/>
        <v>2016</v>
      </c>
      <c r="E22" s="13"/>
      <c r="F22" s="6"/>
      <c r="G22" s="13">
        <f>+'Data BIS V SKM'!AF26</f>
        <v>396.44704896768695</v>
      </c>
      <c r="H22" s="14">
        <f>+'Data BIS V SKM'!Y26</f>
        <v>3.125E-2</v>
      </c>
      <c r="I22" s="4"/>
      <c r="J22" s="16"/>
      <c r="M22">
        <v>1</v>
      </c>
      <c r="P22">
        <f t="shared" ref="P22:P25" si="11">LN(G22)</f>
        <v>5.9825424860475884</v>
      </c>
      <c r="Q22">
        <f t="shared" ref="Q22:Q25" si="12">LN(H22)</f>
        <v>-3.4657359027997265</v>
      </c>
      <c r="T22" s="2"/>
      <c r="U22" s="2"/>
      <c r="V22" s="2"/>
      <c r="W22" s="2"/>
      <c r="X22" s="2"/>
      <c r="Y22" s="2"/>
      <c r="AA22" s="2">
        <f t="shared" si="7"/>
        <v>8.0325427483817293</v>
      </c>
      <c r="AB22" s="2"/>
      <c r="AC22" s="2"/>
      <c r="AD22" s="2"/>
      <c r="AE22" s="2"/>
      <c r="AG22">
        <f t="shared" si="4"/>
        <v>2016</v>
      </c>
      <c r="AI22" s="2"/>
      <c r="AJ22" s="2"/>
      <c r="AK22" s="2"/>
      <c r="AL22" s="2"/>
      <c r="AM22" s="2"/>
      <c r="AN22" s="2"/>
      <c r="AP22" s="2">
        <f t="shared" si="10"/>
        <v>3079.5622781423685</v>
      </c>
      <c r="AQ22" s="2"/>
      <c r="AR22" s="2"/>
      <c r="AS22" s="2"/>
      <c r="AT22" s="2"/>
      <c r="AV22" s="2">
        <f t="shared" si="8"/>
        <v>2552.9143286032945</v>
      </c>
      <c r="AW22" s="2"/>
      <c r="AX22" s="2"/>
      <c r="AY22" s="2"/>
      <c r="BB22" s="8">
        <v>0.20629284094590214</v>
      </c>
      <c r="BD22" s="5">
        <f>+'Data BIS V SKM'!T26</f>
        <v>393375.20260587404</v>
      </c>
      <c r="BF22" s="11"/>
      <c r="BG22" s="11"/>
      <c r="BH22" s="11"/>
      <c r="BI22" s="11"/>
      <c r="BJ22" s="11">
        <f t="shared" si="9"/>
        <v>1004.2531912497599</v>
      </c>
      <c r="BK22" s="11"/>
      <c r="BL22" s="11"/>
      <c r="BN22" s="11"/>
      <c r="BO22" s="11"/>
      <c r="BP22" s="11"/>
      <c r="BQ22" s="11"/>
      <c r="BR22" s="11">
        <v>998.25340519709471</v>
      </c>
      <c r="BS22" s="11"/>
      <c r="BT22" s="11"/>
      <c r="BV22" s="2"/>
      <c r="BW22" s="2"/>
      <c r="BX22" s="2"/>
      <c r="BY22" s="2"/>
      <c r="BZ22" s="2"/>
      <c r="CA22" s="2"/>
      <c r="CB22" s="2"/>
      <c r="CD22" s="2"/>
      <c r="CE22" s="2"/>
      <c r="CF22" s="2"/>
      <c r="CG22" s="2"/>
      <c r="CH22" s="2">
        <f>1000*BR22/'Residential Per Pers'!$BD22</f>
        <v>2.5376622587907587</v>
      </c>
      <c r="CI22" s="2"/>
      <c r="CJ22" s="2"/>
    </row>
    <row r="23" spans="2:88" x14ac:dyDescent="0.25">
      <c r="B23" s="4">
        <f t="shared" si="6"/>
        <v>2017</v>
      </c>
      <c r="E23" s="13"/>
      <c r="F23" s="6"/>
      <c r="G23" s="13">
        <f>+'Data BIS V SKM'!AF27</f>
        <v>402.54015425446232</v>
      </c>
      <c r="H23" s="14">
        <f>+'Data BIS V SKM'!Y27</f>
        <v>3.7499999999999999E-2</v>
      </c>
      <c r="I23" s="4"/>
      <c r="J23" s="16"/>
      <c r="M23">
        <v>1</v>
      </c>
      <c r="P23">
        <f t="shared" si="11"/>
        <v>5.9977948540055959</v>
      </c>
      <c r="Q23">
        <f t="shared" si="12"/>
        <v>-3.2834143460057721</v>
      </c>
      <c r="T23" s="2"/>
      <c r="U23" s="2"/>
      <c r="V23" s="2"/>
      <c r="W23" s="2"/>
      <c r="X23" s="2"/>
      <c r="Y23" s="2"/>
      <c r="AA23" s="2">
        <f t="shared" si="7"/>
        <v>8.0456748807439098</v>
      </c>
      <c r="AB23" s="2"/>
      <c r="AC23" s="2"/>
      <c r="AD23" s="2"/>
      <c r="AE23" s="2"/>
      <c r="AG23">
        <f t="shared" si="4"/>
        <v>2017</v>
      </c>
      <c r="AI23" s="2"/>
      <c r="AJ23" s="2"/>
      <c r="AK23" s="2"/>
      <c r="AL23" s="2"/>
      <c r="AM23" s="2"/>
      <c r="AN23" s="2"/>
      <c r="AP23" s="2">
        <f t="shared" si="10"/>
        <v>3120.2702035136263</v>
      </c>
      <c r="AQ23" s="2"/>
      <c r="AR23" s="2"/>
      <c r="AS23" s="2"/>
      <c r="AT23" s="2"/>
      <c r="AV23" s="2">
        <f t="shared" si="8"/>
        <v>2542.6698430427978</v>
      </c>
      <c r="AW23" s="2"/>
      <c r="AX23" s="2"/>
      <c r="AY23" s="2"/>
      <c r="BB23" s="8">
        <v>0.22716294136702295</v>
      </c>
      <c r="BD23" s="5">
        <f>+'Data BIS V SKM'!T27</f>
        <v>397984.3738284086</v>
      </c>
      <c r="BF23" s="11"/>
      <c r="BG23" s="11"/>
      <c r="BH23" s="11"/>
      <c r="BI23" s="11"/>
      <c r="BJ23" s="11">
        <f t="shared" si="9"/>
        <v>1011.9428653357659</v>
      </c>
      <c r="BK23" s="11"/>
      <c r="BL23" s="11"/>
      <c r="BN23" s="11"/>
      <c r="BO23" s="11"/>
      <c r="BP23" s="11"/>
      <c r="BQ23" s="11"/>
      <c r="BR23" s="11">
        <v>1002.6521007382449</v>
      </c>
      <c r="BS23" s="11"/>
      <c r="BT23" s="11"/>
      <c r="BV23" s="2"/>
      <c r="BW23" s="2"/>
      <c r="BX23" s="2"/>
      <c r="BY23" s="2"/>
      <c r="BZ23" s="2"/>
      <c r="CA23" s="2"/>
      <c r="CB23" s="2"/>
      <c r="CD23" s="2"/>
      <c r="CE23" s="2"/>
      <c r="CF23" s="2"/>
      <c r="CG23" s="2"/>
      <c r="CH23" s="2">
        <f>1000*BR23/'Residential Per Pers'!$BD23</f>
        <v>2.5193252968533368</v>
      </c>
      <c r="CI23" s="2"/>
      <c r="CJ23" s="2"/>
    </row>
    <row r="24" spans="2:88" x14ac:dyDescent="0.25">
      <c r="B24" s="4">
        <f t="shared" si="6"/>
        <v>2018</v>
      </c>
      <c r="E24" s="13"/>
      <c r="F24" s="6"/>
      <c r="G24" s="13">
        <f>+'Data BIS V SKM'!AF28</f>
        <v>408.00769444158186</v>
      </c>
      <c r="H24" s="14">
        <f>+'Data BIS V SKM'!Y28</f>
        <v>3.6249999999999998E-2</v>
      </c>
      <c r="I24" s="4"/>
      <c r="J24" s="16"/>
      <c r="M24">
        <v>1</v>
      </c>
      <c r="P24">
        <f t="shared" si="11"/>
        <v>6.0112860331517801</v>
      </c>
      <c r="Q24">
        <f t="shared" si="12"/>
        <v>-3.3173158976814534</v>
      </c>
      <c r="T24" s="2"/>
      <c r="U24" s="2"/>
      <c r="V24" s="2"/>
      <c r="W24" s="2"/>
      <c r="X24" s="2"/>
      <c r="Y24" s="2"/>
      <c r="AA24" s="2">
        <f t="shared" si="7"/>
        <v>8.0572906476043329</v>
      </c>
      <c r="AB24" s="2"/>
      <c r="AC24" s="2"/>
      <c r="AD24" s="2"/>
      <c r="AE24" s="2"/>
      <c r="AG24">
        <f t="shared" si="4"/>
        <v>2018</v>
      </c>
      <c r="AI24" s="2"/>
      <c r="AJ24" s="2"/>
      <c r="AK24" s="2"/>
      <c r="AL24" s="2"/>
      <c r="AM24" s="2"/>
      <c r="AN24" s="2"/>
      <c r="AP24" s="2">
        <f t="shared" si="10"/>
        <v>3156.7258550129777</v>
      </c>
      <c r="AQ24" s="2"/>
      <c r="AR24" s="2"/>
      <c r="AS24" s="2"/>
      <c r="AT24" s="2"/>
      <c r="AV24" s="2">
        <f t="shared" si="8"/>
        <v>2538.4004499202811</v>
      </c>
      <c r="AW24" s="2"/>
      <c r="AX24" s="2"/>
      <c r="AY24" s="2"/>
      <c r="BB24" s="8">
        <v>0.24358859734369936</v>
      </c>
      <c r="BD24" s="5">
        <f>+'Data BIS V SKM'!T28</f>
        <v>403097.31251310563</v>
      </c>
      <c r="BF24" s="11"/>
      <c r="BG24" s="11"/>
      <c r="BH24" s="11"/>
      <c r="BI24" s="11"/>
      <c r="BJ24" s="11">
        <f t="shared" si="9"/>
        <v>1023.2223994449236</v>
      </c>
      <c r="BK24" s="11"/>
      <c r="BL24" s="11"/>
      <c r="BN24" s="11"/>
      <c r="BO24" s="11"/>
      <c r="BP24" s="11"/>
      <c r="BQ24" s="11"/>
      <c r="BR24" s="11">
        <v>1010.016678525853</v>
      </c>
      <c r="BS24" s="11"/>
      <c r="BT24" s="11"/>
      <c r="BV24" s="2"/>
      <c r="BW24" s="2"/>
      <c r="BX24" s="2"/>
      <c r="BY24" s="2"/>
      <c r="BZ24" s="2"/>
      <c r="CA24" s="2"/>
      <c r="CB24" s="2"/>
      <c r="CD24" s="2"/>
      <c r="CE24" s="2"/>
      <c r="CF24" s="2"/>
      <c r="CG24" s="2"/>
      <c r="CH24" s="2">
        <f>1000*BR24/'Residential Per Pers'!$BD24</f>
        <v>2.5056398223766747</v>
      </c>
      <c r="CI24" s="2"/>
      <c r="CJ24" s="2"/>
    </row>
    <row r="25" spans="2:88" x14ac:dyDescent="0.25">
      <c r="B25" s="4">
        <f t="shared" si="6"/>
        <v>2019</v>
      </c>
      <c r="E25" s="13"/>
      <c r="F25" s="6"/>
      <c r="G25" s="13">
        <f>+'Data BIS V SKM'!AF29</f>
        <v>410.58250005673102</v>
      </c>
      <c r="H25" s="14">
        <f>+'Data BIS V SKM'!Y29</f>
        <v>3.5000000000000003E-2</v>
      </c>
      <c r="I25" s="4"/>
      <c r="J25" s="16"/>
      <c r="M25">
        <v>1</v>
      </c>
      <c r="P25">
        <f t="shared" si="11"/>
        <v>6.017576883259439</v>
      </c>
      <c r="Q25">
        <f t="shared" si="12"/>
        <v>-3.3524072174927233</v>
      </c>
      <c r="T25" s="2"/>
      <c r="U25" s="2"/>
      <c r="V25" s="2"/>
      <c r="W25" s="2"/>
      <c r="X25" s="2"/>
      <c r="Y25" s="2"/>
      <c r="AA25" s="2">
        <f t="shared" si="7"/>
        <v>8.0627070050192522</v>
      </c>
      <c r="AB25" s="2"/>
      <c r="AC25" s="2"/>
      <c r="AD25" s="2"/>
      <c r="AE25" s="2"/>
      <c r="AG25">
        <f t="shared" si="4"/>
        <v>2019</v>
      </c>
      <c r="AI25" s="2"/>
      <c r="AJ25" s="2"/>
      <c r="AK25" s="2"/>
      <c r="AL25" s="2"/>
      <c r="AM25" s="2"/>
      <c r="AN25" s="2"/>
      <c r="AP25" s="2">
        <f t="shared" si="10"/>
        <v>3173.8701985372204</v>
      </c>
      <c r="AQ25" s="2"/>
      <c r="AR25" s="2"/>
      <c r="AS25" s="2"/>
      <c r="AT25" s="2"/>
      <c r="AV25" s="2">
        <f t="shared" si="8"/>
        <v>2518.9161076340783</v>
      </c>
      <c r="AW25" s="2"/>
      <c r="AX25" s="2"/>
      <c r="AY25" s="2"/>
      <c r="BB25" s="8">
        <v>0.2600142533203757</v>
      </c>
      <c r="BD25" s="5">
        <f>+'Data BIS V SKM'!T29</f>
        <v>408317.62792778551</v>
      </c>
      <c r="BF25" s="11"/>
      <c r="BG25" s="11"/>
      <c r="BH25" s="11"/>
      <c r="BI25" s="11"/>
      <c r="BJ25" s="11">
        <f t="shared" si="9"/>
        <v>1028.5178500182374</v>
      </c>
      <c r="BK25" s="11"/>
      <c r="BL25" s="11"/>
      <c r="BN25" s="11"/>
      <c r="BO25" s="11"/>
      <c r="BP25" s="11"/>
      <c r="BQ25" s="11"/>
      <c r="BR25" s="11">
        <v>1012.3337474422843</v>
      </c>
      <c r="BS25" s="11"/>
      <c r="BT25" s="11"/>
      <c r="BV25" s="2"/>
      <c r="BW25" s="2"/>
      <c r="BX25" s="2"/>
      <c r="BY25" s="2"/>
      <c r="BZ25" s="2"/>
      <c r="CA25" s="2"/>
      <c r="CB25" s="2"/>
      <c r="CD25" s="2"/>
      <c r="CE25" s="2"/>
      <c r="CF25" s="2"/>
      <c r="CG25" s="2"/>
      <c r="CH25" s="2">
        <f>1000*BR25/'Residential Per Pers'!$BD25</f>
        <v>2.4792800462225557</v>
      </c>
      <c r="CI25" s="2"/>
      <c r="CJ25" s="2"/>
    </row>
    <row r="28" spans="2:88" x14ac:dyDescent="0.25">
      <c r="D28" s="15"/>
      <c r="F28" s="15"/>
      <c r="G28" s="15"/>
      <c r="H28" s="15"/>
      <c r="I28" s="15"/>
      <c r="J28" s="15"/>
    </row>
    <row r="30" spans="2:88" x14ac:dyDescent="0.25">
      <c r="E30" s="12"/>
      <c r="F30" s="12"/>
      <c r="G30" s="12"/>
      <c r="H30" s="12"/>
      <c r="I30" s="12"/>
      <c r="J30" s="12"/>
    </row>
    <row r="31" spans="2:88" x14ac:dyDescent="0.25">
      <c r="D31" s="12"/>
      <c r="E31" s="12"/>
      <c r="F31" s="12"/>
      <c r="G31" s="12"/>
      <c r="H31" s="12"/>
      <c r="I31" s="12"/>
      <c r="J31" s="12"/>
    </row>
    <row r="32" spans="2:88" x14ac:dyDescent="0.25">
      <c r="E32" s="12"/>
      <c r="F32" s="12"/>
      <c r="G32" s="12"/>
      <c r="H32" s="12"/>
      <c r="I32" s="17"/>
      <c r="J32" s="12"/>
    </row>
    <row r="34" spans="18:27" x14ac:dyDescent="0.25">
      <c r="R34" s="28"/>
      <c r="S34" s="28"/>
      <c r="T34" s="28"/>
    </row>
    <row r="35" spans="18:27" x14ac:dyDescent="0.25">
      <c r="R35" s="28"/>
      <c r="S35" s="29"/>
      <c r="T35" s="28"/>
      <c r="U35" s="2"/>
      <c r="V35" s="2"/>
      <c r="X35" s="2"/>
      <c r="Y35" s="2"/>
      <c r="Z35" s="2"/>
    </row>
    <row r="36" spans="18:27" x14ac:dyDescent="0.25">
      <c r="R36" s="28"/>
      <c r="S36" s="29"/>
      <c r="T36" s="28"/>
      <c r="U36" s="2"/>
      <c r="V36" s="2"/>
      <c r="X36" s="2"/>
      <c r="Y36" s="2"/>
      <c r="Z36" s="2"/>
    </row>
    <row r="37" spans="18:27" x14ac:dyDescent="0.25">
      <c r="R37" s="28"/>
      <c r="S37" s="29"/>
      <c r="T37" s="28"/>
      <c r="U37" s="2"/>
      <c r="V37" s="2"/>
      <c r="X37" s="2"/>
      <c r="Y37" s="2"/>
      <c r="Z37" s="2"/>
    </row>
    <row r="38" spans="18:27" x14ac:dyDescent="0.25">
      <c r="R38" s="28"/>
      <c r="S38" s="29"/>
      <c r="T38" s="28"/>
      <c r="U38" s="2"/>
      <c r="V38" s="2"/>
      <c r="X38" s="2"/>
      <c r="Y38" s="2"/>
      <c r="Z38" s="2"/>
    </row>
    <row r="39" spans="18:27" x14ac:dyDescent="0.25">
      <c r="R39" s="28"/>
      <c r="S39" s="28"/>
      <c r="T39" s="28"/>
    </row>
    <row r="42" spans="18:27" x14ac:dyDescent="0.25">
      <c r="T42" t="s">
        <v>3</v>
      </c>
    </row>
    <row r="43" spans="18:27" x14ac:dyDescent="0.25">
      <c r="T43" t="s">
        <v>6</v>
      </c>
    </row>
    <row r="44" spans="18:27" ht="15.75" thickBot="1" x14ac:dyDescent="0.3">
      <c r="AA44" t="s">
        <v>33</v>
      </c>
    </row>
    <row r="45" spans="18:27" ht="15.75" thickBot="1" x14ac:dyDescent="0.3">
      <c r="S45" s="31" t="s">
        <v>16</v>
      </c>
      <c r="T45" t="str">
        <f>S45</f>
        <v>R11</v>
      </c>
      <c r="U45" s="2">
        <v>2.8816350332351499</v>
      </c>
      <c r="V45" s="2">
        <v>0</v>
      </c>
      <c r="W45" s="2">
        <v>0</v>
      </c>
      <c r="X45" s="2">
        <v>0.86098974259847905</v>
      </c>
      <c r="Y45" s="2">
        <v>0</v>
      </c>
      <c r="Z45" s="2">
        <v>0</v>
      </c>
      <c r="AA45">
        <v>1</v>
      </c>
    </row>
    <row r="46" spans="18:27" x14ac:dyDescent="0.25">
      <c r="R46" s="28"/>
      <c r="S46" s="29"/>
      <c r="T46" s="28"/>
      <c r="U46" s="2"/>
      <c r="V46" s="2"/>
      <c r="W46" s="2"/>
      <c r="X46" s="2"/>
      <c r="Y46" s="2"/>
      <c r="Z46" s="2"/>
    </row>
    <row r="47" spans="18:27" x14ac:dyDescent="0.25">
      <c r="R47" s="28"/>
      <c r="S47" s="29"/>
      <c r="T47" s="28"/>
      <c r="U47" s="2"/>
      <c r="V47" s="2"/>
      <c r="W47" s="2"/>
      <c r="X47" s="2"/>
      <c r="Y47" s="2"/>
      <c r="Z47" s="2"/>
    </row>
    <row r="48" spans="18:27" x14ac:dyDescent="0.25">
      <c r="U48" s="2"/>
      <c r="V48" s="2"/>
      <c r="W48" s="2"/>
      <c r="X48" s="2"/>
      <c r="Y48" s="2"/>
      <c r="Z48" s="2"/>
    </row>
    <row r="54" spans="20:30" x14ac:dyDescent="0.25">
      <c r="T54" s="22"/>
      <c r="V54" s="12"/>
      <c r="W54" s="12"/>
      <c r="X54" s="12"/>
      <c r="Y54" s="12"/>
      <c r="Z54" s="12"/>
      <c r="AA54" s="12"/>
      <c r="AB54" s="21"/>
    </row>
    <row r="55" spans="20:30" x14ac:dyDescent="0.25">
      <c r="V55" s="11"/>
      <c r="W55" s="11"/>
      <c r="X55" s="11"/>
      <c r="Y55" s="11"/>
      <c r="Z55" s="11"/>
      <c r="AA55" s="11"/>
      <c r="AB55" s="11"/>
      <c r="AC55" s="11"/>
      <c r="AD55" s="11"/>
    </row>
    <row r="56" spans="20:30" x14ac:dyDescent="0.25">
      <c r="V56" s="11"/>
      <c r="W56" s="11"/>
      <c r="X56" s="11"/>
      <c r="Y56" s="11"/>
      <c r="Z56" s="11"/>
      <c r="AA56" s="11"/>
      <c r="AB56" s="11"/>
      <c r="AC56" s="11"/>
      <c r="AD56" s="11"/>
    </row>
    <row r="57" spans="20:30" x14ac:dyDescent="0.25">
      <c r="V57" s="11"/>
      <c r="W57" s="11"/>
      <c r="X57" s="11"/>
      <c r="Y57" s="11"/>
      <c r="Z57" s="11"/>
      <c r="AA57" s="11"/>
      <c r="AB57" s="11"/>
      <c r="AC57" s="11"/>
      <c r="AD57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AY56"/>
  <sheetViews>
    <sheetView workbookViewId="0">
      <selection activeCell="G16" sqref="G16"/>
    </sheetView>
  </sheetViews>
  <sheetFormatPr defaultRowHeight="15" x14ac:dyDescent="0.25"/>
  <cols>
    <col min="3" max="4" width="9.5703125" bestFit="1" customWidth="1"/>
    <col min="18" max="19" width="9.5703125" bestFit="1" customWidth="1"/>
    <col min="20" max="22" width="9.7109375" bestFit="1" customWidth="1"/>
    <col min="23" max="23" width="10.28515625" bestFit="1" customWidth="1"/>
    <col min="31" max="31" width="9.5703125" bestFit="1" customWidth="1"/>
  </cols>
  <sheetData>
    <row r="2" spans="2:51" x14ac:dyDescent="0.25">
      <c r="AF2" t="s">
        <v>0</v>
      </c>
    </row>
    <row r="3" spans="2:51" x14ac:dyDescent="0.25">
      <c r="C3" t="s">
        <v>1</v>
      </c>
      <c r="J3" t="s">
        <v>2</v>
      </c>
      <c r="R3" t="s">
        <v>3</v>
      </c>
      <c r="Y3" t="s">
        <v>3</v>
      </c>
    </row>
    <row r="4" spans="2:51" x14ac:dyDescent="0.25">
      <c r="C4" t="s">
        <v>4</v>
      </c>
      <c r="J4" t="s">
        <v>4</v>
      </c>
      <c r="Y4" t="s">
        <v>6</v>
      </c>
      <c r="AM4" t="s">
        <v>6</v>
      </c>
      <c r="AS4" t="s">
        <v>7</v>
      </c>
    </row>
    <row r="5" spans="2:51" x14ac:dyDescent="0.25">
      <c r="C5" t="s">
        <v>19</v>
      </c>
      <c r="D5" t="s">
        <v>8</v>
      </c>
      <c r="F5" t="s">
        <v>20</v>
      </c>
      <c r="G5" t="s">
        <v>15</v>
      </c>
      <c r="J5" t="s">
        <v>19</v>
      </c>
      <c r="K5" t="s">
        <v>8</v>
      </c>
      <c r="L5" t="s">
        <v>12</v>
      </c>
      <c r="N5" t="s">
        <v>20</v>
      </c>
      <c r="O5" t="s">
        <v>15</v>
      </c>
      <c r="Y5" t="s">
        <v>21</v>
      </c>
      <c r="AM5" t="str">
        <f>Y5</f>
        <v>LV6</v>
      </c>
      <c r="AS5" t="str">
        <f>AM5</f>
        <v>LV6</v>
      </c>
      <c r="AY5" t="s">
        <v>13</v>
      </c>
    </row>
    <row r="6" spans="2:51" x14ac:dyDescent="0.25">
      <c r="B6">
        <v>2000</v>
      </c>
      <c r="C6" s="1">
        <v>1020.8273650194518</v>
      </c>
      <c r="D6" s="1">
        <v>1025.1005958497658</v>
      </c>
      <c r="F6">
        <v>28556</v>
      </c>
      <c r="G6" s="10">
        <v>5.2210260256935447E-2</v>
      </c>
      <c r="J6" s="2">
        <f>LN(C6)</f>
        <v>6.9283687196562243</v>
      </c>
      <c r="K6" s="2">
        <f t="shared" ref="K6:K19" si="0">LN(D6)</f>
        <v>6.9325460290493233</v>
      </c>
      <c r="L6">
        <v>1</v>
      </c>
      <c r="N6">
        <f>LN(F6)</f>
        <v>10.259622350622351</v>
      </c>
      <c r="O6">
        <f>LN(G6)</f>
        <v>-2.9524762467619978</v>
      </c>
      <c r="R6" s="2"/>
      <c r="S6" s="2"/>
      <c r="T6" s="2"/>
      <c r="U6" s="2"/>
      <c r="V6" s="2"/>
      <c r="W6" s="2"/>
      <c r="Y6" s="2">
        <f t="shared" ref="Y6:Y19" si="1">SUMPRODUCT($S$47:$W$47,L6:P6)</f>
        <v>6.9378579305433359</v>
      </c>
      <c r="Z6" s="2"/>
      <c r="AA6" s="2"/>
      <c r="AB6" s="2"/>
      <c r="AC6" s="2"/>
      <c r="AD6" s="2"/>
      <c r="AE6" s="3">
        <f>B6</f>
        <v>2000</v>
      </c>
      <c r="AF6" s="2"/>
      <c r="AG6" s="2"/>
      <c r="AH6" s="2"/>
      <c r="AI6" s="2"/>
      <c r="AJ6" s="2"/>
      <c r="AK6" s="2"/>
      <c r="AM6" s="2">
        <f t="shared" ref="AM6:AM25" si="2">EXP(Y6)</f>
        <v>1030.5603171494838</v>
      </c>
      <c r="AN6" s="2"/>
      <c r="AO6" s="2"/>
      <c r="AP6" s="2"/>
      <c r="AQ6" s="2"/>
      <c r="AS6" s="2">
        <f>AM6/(1+$AY6)</f>
        <v>1026.264326943673</v>
      </c>
      <c r="AT6" s="2"/>
      <c r="AU6" s="2"/>
      <c r="AV6" s="2"/>
      <c r="AW6" s="2"/>
      <c r="AY6" s="8">
        <v>4.1860465116279064E-3</v>
      </c>
    </row>
    <row r="7" spans="2:51" x14ac:dyDescent="0.25">
      <c r="B7">
        <f t="shared" ref="B7:B25" si="3">B6+1</f>
        <v>2001</v>
      </c>
      <c r="C7" s="1">
        <v>1062.3428463362388</v>
      </c>
      <c r="D7" s="1">
        <v>1068.1239678721151</v>
      </c>
      <c r="F7">
        <v>29080</v>
      </c>
      <c r="G7" s="10">
        <v>5.8283450446493933E-2</v>
      </c>
      <c r="J7" s="2">
        <f t="shared" ref="J7:J19" si="4">LN(C7)</f>
        <v>6.9682319805283095</v>
      </c>
      <c r="K7" s="2">
        <f t="shared" si="0"/>
        <v>6.9736590875706082</v>
      </c>
      <c r="L7">
        <v>1</v>
      </c>
      <c r="N7">
        <f t="shared" ref="N7:O19" si="5">LN(F7)</f>
        <v>10.277805931647455</v>
      </c>
      <c r="O7">
        <f t="shared" si="5"/>
        <v>-2.8424370947663764</v>
      </c>
      <c r="R7" s="2"/>
      <c r="S7" s="2"/>
      <c r="T7" s="2"/>
      <c r="U7" s="2"/>
      <c r="V7" s="2"/>
      <c r="W7" s="2"/>
      <c r="Y7" s="2">
        <f t="shared" si="1"/>
        <v>6.9555784141180617</v>
      </c>
      <c r="Z7" s="2"/>
      <c r="AA7" s="2"/>
      <c r="AB7" s="2"/>
      <c r="AC7" s="2"/>
      <c r="AD7" s="2"/>
      <c r="AE7" s="3">
        <f t="shared" ref="AE7:AE25" si="6">B7</f>
        <v>2001</v>
      </c>
      <c r="AF7" s="2"/>
      <c r="AG7" s="2"/>
      <c r="AH7" s="2"/>
      <c r="AI7" s="2"/>
      <c r="AJ7" s="2"/>
      <c r="AK7" s="2"/>
      <c r="AM7" s="2">
        <f t="shared" si="2"/>
        <v>1048.9851103078054</v>
      </c>
      <c r="AN7" s="2"/>
      <c r="AO7" s="2"/>
      <c r="AP7" s="2"/>
      <c r="AQ7" s="2"/>
      <c r="AS7" s="2">
        <f t="shared" ref="AS7:AS25" si="7">AM7/(1+$AY7)</f>
        <v>1043.307576056706</v>
      </c>
      <c r="AT7" s="2"/>
      <c r="AU7" s="2"/>
      <c r="AV7" s="2"/>
      <c r="AW7" s="2"/>
      <c r="AY7" s="8">
        <v>5.4418604651162786E-3</v>
      </c>
    </row>
    <row r="8" spans="2:51" x14ac:dyDescent="0.25">
      <c r="B8">
        <f t="shared" si="3"/>
        <v>2002</v>
      </c>
      <c r="C8" s="1">
        <v>1085.9069698231676</v>
      </c>
      <c r="D8" s="1">
        <v>1093.1800211559369</v>
      </c>
      <c r="F8">
        <v>30804</v>
      </c>
      <c r="G8" s="10">
        <v>4.5201992753623195E-2</v>
      </c>
      <c r="J8" s="2">
        <f t="shared" si="4"/>
        <v>6.990170833678329</v>
      </c>
      <c r="K8" s="2">
        <f t="shared" si="0"/>
        <v>6.9968461783252014</v>
      </c>
      <c r="L8">
        <v>1</v>
      </c>
      <c r="N8">
        <f t="shared" si="5"/>
        <v>10.33539983065914</v>
      </c>
      <c r="O8">
        <f t="shared" si="5"/>
        <v>-3.096614105646236</v>
      </c>
      <c r="R8" s="2"/>
      <c r="S8" s="2"/>
      <c r="T8" s="2"/>
      <c r="U8" s="2"/>
      <c r="V8" s="2"/>
      <c r="W8" s="2"/>
      <c r="Y8" s="2">
        <f t="shared" si="1"/>
        <v>6.9796804247712227</v>
      </c>
      <c r="Z8" s="2"/>
      <c r="AA8" s="2"/>
      <c r="AB8" s="2"/>
      <c r="AC8" s="2"/>
      <c r="AD8" s="2"/>
      <c r="AE8" s="3">
        <f t="shared" si="6"/>
        <v>2002</v>
      </c>
      <c r="AF8" s="2"/>
      <c r="AG8" s="2"/>
      <c r="AH8" s="2"/>
      <c r="AI8" s="2"/>
      <c r="AJ8" s="2"/>
      <c r="AK8" s="2"/>
      <c r="AM8" s="2">
        <f t="shared" si="2"/>
        <v>1074.5749045966829</v>
      </c>
      <c r="AN8" s="2"/>
      <c r="AO8" s="2"/>
      <c r="AP8" s="2"/>
      <c r="AQ8" s="2"/>
      <c r="AS8" s="2">
        <f t="shared" si="7"/>
        <v>1067.4256352258678</v>
      </c>
      <c r="AT8" s="2"/>
      <c r="AU8" s="2"/>
      <c r="AV8" s="2"/>
      <c r="AW8" s="2"/>
      <c r="AY8" s="8">
        <v>6.6976744186046508E-3</v>
      </c>
    </row>
    <row r="9" spans="2:51" x14ac:dyDescent="0.25">
      <c r="B9">
        <f t="shared" si="3"/>
        <v>2003</v>
      </c>
      <c r="C9" s="1">
        <v>1104.5769949033972</v>
      </c>
      <c r="D9" s="1">
        <v>1114.7999513206171</v>
      </c>
      <c r="F9">
        <v>33324</v>
      </c>
      <c r="G9" s="10">
        <v>4.7500000000000001E-2</v>
      </c>
      <c r="J9" s="2">
        <f t="shared" si="4"/>
        <v>7.0072177306192094</v>
      </c>
      <c r="K9" s="2">
        <f t="shared" si="0"/>
        <v>7.01643025194132</v>
      </c>
      <c r="L9">
        <v>1</v>
      </c>
      <c r="N9">
        <f t="shared" si="5"/>
        <v>10.414033137094799</v>
      </c>
      <c r="O9">
        <f t="shared" si="5"/>
        <v>-3.0470255679415414</v>
      </c>
      <c r="R9" s="2"/>
      <c r="S9" s="2"/>
      <c r="T9" s="2"/>
      <c r="U9" s="2"/>
      <c r="V9" s="2"/>
      <c r="W9" s="2"/>
      <c r="Y9" s="2">
        <f t="shared" si="1"/>
        <v>7.0336613980639573</v>
      </c>
      <c r="Z9" s="2"/>
      <c r="AA9" s="2"/>
      <c r="AB9" s="2"/>
      <c r="AC9" s="2"/>
      <c r="AD9" s="2"/>
      <c r="AE9" s="3">
        <f t="shared" si="6"/>
        <v>2003</v>
      </c>
      <c r="AF9" s="2"/>
      <c r="AG9" s="2"/>
      <c r="AH9" s="2"/>
      <c r="AI9" s="2"/>
      <c r="AJ9" s="2"/>
      <c r="AK9" s="2"/>
      <c r="AM9" s="2">
        <f t="shared" si="2"/>
        <v>1134.175685830005</v>
      </c>
      <c r="AN9" s="2"/>
      <c r="AO9" s="2"/>
      <c r="AP9" s="2"/>
      <c r="AQ9" s="2"/>
      <c r="AS9" s="2">
        <f t="shared" si="7"/>
        <v>1123.7750497410141</v>
      </c>
      <c r="AT9" s="2"/>
      <c r="AU9" s="2"/>
      <c r="AV9" s="2"/>
      <c r="AW9" s="2"/>
      <c r="AY9" s="8">
        <v>9.2550872093023241E-3</v>
      </c>
    </row>
    <row r="10" spans="2:51" x14ac:dyDescent="0.25">
      <c r="B10">
        <f t="shared" si="3"/>
        <v>2004</v>
      </c>
      <c r="C10" s="1">
        <v>1135.1914404429542</v>
      </c>
      <c r="D10" s="1">
        <v>1148.6008893331866</v>
      </c>
      <c r="F10">
        <v>34629</v>
      </c>
      <c r="G10" s="10">
        <v>5.0584325396825398E-2</v>
      </c>
      <c r="J10" s="2">
        <f t="shared" si="4"/>
        <v>7.0345565856861114</v>
      </c>
      <c r="K10" s="2">
        <f t="shared" si="0"/>
        <v>7.0462998627056992</v>
      </c>
      <c r="L10">
        <v>1</v>
      </c>
      <c r="N10">
        <f t="shared" si="5"/>
        <v>10.452446760283022</v>
      </c>
      <c r="O10">
        <f t="shared" si="5"/>
        <v>-2.9841135254451276</v>
      </c>
      <c r="R10" s="2"/>
      <c r="S10" s="2"/>
      <c r="T10" s="2"/>
      <c r="U10" s="2"/>
      <c r="V10" s="2"/>
      <c r="W10" s="2"/>
      <c r="Y10" s="2">
        <f t="shared" si="1"/>
        <v>7.0620876159358232</v>
      </c>
      <c r="Z10" s="2"/>
      <c r="AA10" s="2"/>
      <c r="AB10" s="2"/>
      <c r="AC10" s="2"/>
      <c r="AD10" s="2"/>
      <c r="AE10" s="3">
        <f t="shared" si="6"/>
        <v>2004</v>
      </c>
      <c r="AF10" s="2"/>
      <c r="AG10" s="2"/>
      <c r="AH10" s="2"/>
      <c r="AI10" s="2"/>
      <c r="AJ10" s="2"/>
      <c r="AK10" s="2"/>
      <c r="AM10" s="2">
        <f t="shared" si="2"/>
        <v>1166.8786192315965</v>
      </c>
      <c r="AN10" s="2"/>
      <c r="AO10" s="2"/>
      <c r="AP10" s="2"/>
      <c r="AQ10" s="2"/>
      <c r="AS10" s="2">
        <f t="shared" si="7"/>
        <v>1153.2557852681168</v>
      </c>
      <c r="AT10" s="2"/>
      <c r="AU10" s="2"/>
      <c r="AV10" s="2"/>
      <c r="AW10" s="2"/>
      <c r="AY10" s="8">
        <v>1.1812499999999998E-2</v>
      </c>
    </row>
    <row r="11" spans="2:51" x14ac:dyDescent="0.25">
      <c r="B11">
        <f t="shared" si="3"/>
        <v>2005</v>
      </c>
      <c r="C11" s="1">
        <v>1168.8501989857325</v>
      </c>
      <c r="D11" s="1">
        <v>1187.603618929779</v>
      </c>
      <c r="F11">
        <v>36188</v>
      </c>
      <c r="G11" s="10">
        <v>5.3323412698412703E-2</v>
      </c>
      <c r="J11" s="2">
        <f t="shared" si="4"/>
        <v>7.0637758086806386</v>
      </c>
      <c r="K11" s="2">
        <f t="shared" si="0"/>
        <v>7.0796927901481643</v>
      </c>
      <c r="L11">
        <v>1</v>
      </c>
      <c r="N11">
        <f t="shared" si="5"/>
        <v>10.496482851145633</v>
      </c>
      <c r="O11">
        <f t="shared" si="5"/>
        <v>-2.9313797816235416</v>
      </c>
      <c r="R11" s="2"/>
      <c r="S11" s="2"/>
      <c r="T11" s="2"/>
      <c r="U11" s="2"/>
      <c r="V11" s="2"/>
      <c r="W11" s="2"/>
      <c r="Y11" s="2">
        <f t="shared" si="1"/>
        <v>7.0936443748869431</v>
      </c>
      <c r="Z11" s="2"/>
      <c r="AA11" s="2"/>
      <c r="AB11" s="2"/>
      <c r="AC11" s="2"/>
      <c r="AD11" s="2"/>
      <c r="AE11" s="3">
        <f t="shared" si="6"/>
        <v>2005</v>
      </c>
      <c r="AF11" s="2"/>
      <c r="AG11" s="2"/>
      <c r="AH11" s="2"/>
      <c r="AI11" s="2"/>
      <c r="AJ11" s="2"/>
      <c r="AK11" s="2"/>
      <c r="AM11" s="2">
        <f t="shared" si="2"/>
        <v>1204.2886924233644</v>
      </c>
      <c r="AN11" s="2"/>
      <c r="AO11" s="2"/>
      <c r="AP11" s="2"/>
      <c r="AQ11" s="2"/>
      <c r="AS11" s="2">
        <f t="shared" si="7"/>
        <v>1185.2717988884369</v>
      </c>
      <c r="AT11" s="2"/>
      <c r="AU11" s="2"/>
      <c r="AV11" s="2"/>
      <c r="AW11" s="2"/>
      <c r="AY11" s="8">
        <v>1.6044331395348835E-2</v>
      </c>
    </row>
    <row r="12" spans="2:51" x14ac:dyDescent="0.25">
      <c r="B12">
        <f t="shared" si="3"/>
        <v>2006</v>
      </c>
      <c r="C12" s="1">
        <v>1216.7413414022037</v>
      </c>
      <c r="D12" s="1">
        <v>1241.9215204994198</v>
      </c>
      <c r="F12">
        <v>37575</v>
      </c>
      <c r="G12" s="10">
        <v>5.5398550724637681E-2</v>
      </c>
      <c r="J12" s="2">
        <f t="shared" si="4"/>
        <v>7.1039315325199297</v>
      </c>
      <c r="K12" s="2">
        <f t="shared" si="0"/>
        <v>7.1244150724932904</v>
      </c>
      <c r="L12">
        <v>1</v>
      </c>
      <c r="N12">
        <f t="shared" si="5"/>
        <v>10.534094214621176</v>
      </c>
      <c r="O12">
        <f t="shared" si="5"/>
        <v>-2.8932018457761792</v>
      </c>
      <c r="R12" s="2"/>
      <c r="S12" s="2"/>
      <c r="T12" s="2"/>
      <c r="U12" s="2"/>
      <c r="V12" s="2"/>
      <c r="W12" s="2"/>
      <c r="Y12" s="2">
        <f t="shared" si="1"/>
        <v>7.1202324821184213</v>
      </c>
      <c r="Z12" s="2"/>
      <c r="AA12" s="2"/>
      <c r="AB12" s="2"/>
      <c r="AC12" s="2"/>
      <c r="AD12" s="2"/>
      <c r="AE12" s="3">
        <f t="shared" si="6"/>
        <v>2006</v>
      </c>
      <c r="AF12" s="2"/>
      <c r="AG12" s="2"/>
      <c r="AH12" s="2"/>
      <c r="AI12" s="2"/>
      <c r="AJ12" s="2"/>
      <c r="AK12" s="2"/>
      <c r="AM12" s="2">
        <f t="shared" si="2"/>
        <v>1236.7379194981149</v>
      </c>
      <c r="AN12" s="2"/>
      <c r="AO12" s="2"/>
      <c r="AP12" s="2"/>
      <c r="AQ12" s="2"/>
      <c r="AS12" s="2">
        <f t="shared" si="7"/>
        <v>1211.6628388305717</v>
      </c>
      <c r="AT12" s="2"/>
      <c r="AU12" s="2"/>
      <c r="AV12" s="2"/>
      <c r="AW12" s="2"/>
      <c r="AY12" s="8">
        <v>2.0694767441860464E-2</v>
      </c>
    </row>
    <row r="13" spans="2:51" x14ac:dyDescent="0.25">
      <c r="B13">
        <f t="shared" si="3"/>
        <v>2007</v>
      </c>
      <c r="C13" s="1">
        <v>1286.8947761818106</v>
      </c>
      <c r="D13" s="1">
        <v>1319.5113861522616</v>
      </c>
      <c r="F13">
        <v>41946</v>
      </c>
      <c r="G13" s="10">
        <v>6.1401926877470363E-2</v>
      </c>
      <c r="J13" s="2">
        <f t="shared" si="4"/>
        <v>7.1599874452651866</v>
      </c>
      <c r="K13" s="2">
        <f t="shared" si="0"/>
        <v>7.1850167850476874</v>
      </c>
      <c r="L13">
        <v>1</v>
      </c>
      <c r="N13">
        <f t="shared" si="5"/>
        <v>10.64413835574004</v>
      </c>
      <c r="O13">
        <f t="shared" si="5"/>
        <v>-2.7903140619522322</v>
      </c>
      <c r="R13" s="2"/>
      <c r="S13" s="2"/>
      <c r="T13" s="2"/>
      <c r="U13" s="2"/>
      <c r="V13" s="2"/>
      <c r="W13" s="2"/>
      <c r="Y13" s="2">
        <f t="shared" si="1"/>
        <v>7.1975562060321527</v>
      </c>
      <c r="Z13" s="2"/>
      <c r="AA13" s="2"/>
      <c r="AB13" s="2"/>
      <c r="AC13" s="2"/>
      <c r="AD13" s="2"/>
      <c r="AE13" s="3">
        <f t="shared" si="6"/>
        <v>2007</v>
      </c>
      <c r="AF13" s="2"/>
      <c r="AG13" s="2"/>
      <c r="AH13" s="2"/>
      <c r="AI13" s="2"/>
      <c r="AJ13" s="2"/>
      <c r="AK13" s="2"/>
      <c r="AM13" s="2">
        <f t="shared" si="2"/>
        <v>1336.1614679425707</v>
      </c>
      <c r="AN13" s="2"/>
      <c r="AO13" s="2"/>
      <c r="AP13" s="2"/>
      <c r="AQ13" s="2"/>
      <c r="AS13" s="2">
        <f t="shared" si="7"/>
        <v>1303.1332895465418</v>
      </c>
      <c r="AT13" s="2"/>
      <c r="AU13" s="2"/>
      <c r="AV13" s="2"/>
      <c r="AW13" s="2"/>
      <c r="AY13" s="8">
        <v>2.5345203488372093E-2</v>
      </c>
    </row>
    <row r="14" spans="2:51" x14ac:dyDescent="0.25">
      <c r="B14">
        <f t="shared" si="3"/>
        <v>2008</v>
      </c>
      <c r="C14" s="1">
        <v>1326.3490674136829</v>
      </c>
      <c r="D14" s="1">
        <v>1370.3267925965911</v>
      </c>
      <c r="F14">
        <v>42875</v>
      </c>
      <c r="G14" s="10">
        <v>6.8204212144191464E-2</v>
      </c>
      <c r="J14" s="2">
        <f t="shared" si="4"/>
        <v>7.190185384528629</v>
      </c>
      <c r="K14" s="2">
        <f t="shared" si="0"/>
        <v>7.2228045251193196</v>
      </c>
      <c r="L14">
        <v>1</v>
      </c>
      <c r="N14">
        <f t="shared" si="5"/>
        <v>10.666044184468241</v>
      </c>
      <c r="O14">
        <f t="shared" si="5"/>
        <v>-2.6852489543948566</v>
      </c>
      <c r="R14" s="2"/>
      <c r="S14" s="2"/>
      <c r="T14" s="2"/>
      <c r="U14" s="2"/>
      <c r="V14" s="2"/>
      <c r="W14" s="2"/>
      <c r="Y14" s="2">
        <f t="shared" si="1"/>
        <v>7.2174429512918357</v>
      </c>
      <c r="Z14" s="2"/>
      <c r="AA14" s="2"/>
      <c r="AB14" s="2"/>
      <c r="AC14" s="2"/>
      <c r="AD14" s="2"/>
      <c r="AE14" s="3">
        <f t="shared" si="6"/>
        <v>2008</v>
      </c>
      <c r="AF14" s="2"/>
      <c r="AG14" s="2"/>
      <c r="AH14" s="2"/>
      <c r="AI14" s="2"/>
      <c r="AJ14" s="2"/>
      <c r="AK14" s="2"/>
      <c r="AM14" s="2">
        <f t="shared" si="2"/>
        <v>1362.9993452085553</v>
      </c>
      <c r="AN14" s="2"/>
      <c r="AO14" s="2"/>
      <c r="AP14" s="2"/>
      <c r="AQ14" s="2"/>
      <c r="AS14" s="2">
        <f t="shared" si="7"/>
        <v>1319.2567788718904</v>
      </c>
      <c r="AT14" s="2"/>
      <c r="AU14" s="2"/>
      <c r="AV14" s="2"/>
      <c r="AW14" s="2"/>
      <c r="AY14" s="8">
        <v>3.3156976744186044E-2</v>
      </c>
    </row>
    <row r="15" spans="2:51" x14ac:dyDescent="0.25">
      <c r="B15">
        <f t="shared" si="3"/>
        <v>2009</v>
      </c>
      <c r="C15" s="1">
        <v>1321.3395877341979</v>
      </c>
      <c r="D15" s="1">
        <v>1375.4732189691833</v>
      </c>
      <c r="F15">
        <v>44196</v>
      </c>
      <c r="G15" s="10">
        <v>4.7739667253865227E-2</v>
      </c>
      <c r="J15" s="2">
        <f t="shared" si="4"/>
        <v>7.1864013401718259</v>
      </c>
      <c r="K15" s="2">
        <f t="shared" si="0"/>
        <v>7.2265531101417766</v>
      </c>
      <c r="L15">
        <v>1</v>
      </c>
      <c r="N15">
        <f t="shared" si="5"/>
        <v>10.696389566233066</v>
      </c>
      <c r="O15">
        <f t="shared" si="5"/>
        <v>-3.041992628060862</v>
      </c>
      <c r="R15" s="2"/>
      <c r="S15" s="2"/>
      <c r="T15" s="2"/>
      <c r="U15" s="2"/>
      <c r="V15" s="2"/>
      <c r="W15" s="2"/>
      <c r="Y15" s="2">
        <f t="shared" si="1"/>
        <v>7.2183022961105134</v>
      </c>
      <c r="Z15" s="2"/>
      <c r="AA15" s="2"/>
      <c r="AB15" s="2"/>
      <c r="AC15" s="2"/>
      <c r="AD15" s="2"/>
      <c r="AE15" s="3">
        <f t="shared" si="6"/>
        <v>2009</v>
      </c>
      <c r="AF15" s="2"/>
      <c r="AG15" s="2"/>
      <c r="AH15" s="2"/>
      <c r="AI15" s="2"/>
      <c r="AJ15" s="2"/>
      <c r="AK15" s="2"/>
      <c r="AM15" s="2">
        <f t="shared" si="2"/>
        <v>1364.1711350473736</v>
      </c>
      <c r="AN15" s="2"/>
      <c r="AO15" s="2"/>
      <c r="AP15" s="2"/>
      <c r="AQ15" s="2"/>
      <c r="AS15" s="2">
        <f t="shared" si="7"/>
        <v>1310.4823127950513</v>
      </c>
      <c r="AT15" s="2"/>
      <c r="AU15" s="2"/>
      <c r="AV15" s="2"/>
      <c r="AW15" s="2"/>
      <c r="AY15" s="8">
        <v>4.0968749999999998E-2</v>
      </c>
    </row>
    <row r="16" spans="2:51" x14ac:dyDescent="0.25">
      <c r="B16">
        <f t="shared" si="3"/>
        <v>2010</v>
      </c>
      <c r="C16" s="1">
        <v>1316.8026006290791</v>
      </c>
      <c r="D16" s="1">
        <v>1381.0369205123823</v>
      </c>
      <c r="F16">
        <v>45335</v>
      </c>
      <c r="G16" s="10">
        <v>3.6752976190476197E-2</v>
      </c>
      <c r="J16" s="2">
        <f t="shared" si="4"/>
        <v>7.1829618048821846</v>
      </c>
      <c r="K16" s="2">
        <f t="shared" si="0"/>
        <v>7.230589887673494</v>
      </c>
      <c r="L16">
        <v>1</v>
      </c>
      <c r="N16">
        <f t="shared" si="5"/>
        <v>10.721834640080157</v>
      </c>
      <c r="O16">
        <f t="shared" si="5"/>
        <v>-3.3035360718275188</v>
      </c>
      <c r="R16" s="2"/>
      <c r="S16" s="2"/>
      <c r="T16" s="2"/>
      <c r="U16" s="2"/>
      <c r="V16" s="2"/>
      <c r="W16" s="2"/>
      <c r="Y16" s="2">
        <f t="shared" si="1"/>
        <v>7.2210203082748246</v>
      </c>
      <c r="Z16" s="2"/>
      <c r="AA16" s="2"/>
      <c r="AB16" s="2"/>
      <c r="AC16" s="2"/>
      <c r="AD16" s="2"/>
      <c r="AE16" s="3">
        <f t="shared" si="6"/>
        <v>2010</v>
      </c>
      <c r="AF16" s="2"/>
      <c r="AG16" s="2"/>
      <c r="AH16" s="2"/>
      <c r="AI16" s="2"/>
      <c r="AJ16" s="2"/>
      <c r="AK16" s="2"/>
      <c r="AM16" s="2">
        <f t="shared" si="2"/>
        <v>1367.8840123236675</v>
      </c>
      <c r="AN16" s="2"/>
      <c r="AO16" s="2"/>
      <c r="AP16" s="2"/>
      <c r="AQ16" s="2"/>
      <c r="AS16" s="2">
        <f t="shared" si="7"/>
        <v>1304.2614560358488</v>
      </c>
      <c r="AT16" s="2"/>
      <c r="AU16" s="2"/>
      <c r="AV16" s="2"/>
      <c r="AW16" s="2"/>
      <c r="AY16" s="8">
        <v>4.8780523255813953E-2</v>
      </c>
    </row>
    <row r="17" spans="2:51" x14ac:dyDescent="0.25">
      <c r="B17">
        <f t="shared" si="3"/>
        <v>2011</v>
      </c>
      <c r="C17" s="1">
        <v>1339.0014861402212</v>
      </c>
      <c r="D17" s="1">
        <v>1414.7786552733789</v>
      </c>
      <c r="F17">
        <v>46953</v>
      </c>
      <c r="G17" s="10">
        <v>4.6647916666666664E-2</v>
      </c>
      <c r="J17" s="2">
        <f t="shared" si="4"/>
        <v>7.199679455578698</v>
      </c>
      <c r="K17" s="2">
        <f t="shared" si="0"/>
        <v>7.2547283704726642</v>
      </c>
      <c r="L17">
        <v>1</v>
      </c>
      <c r="N17">
        <f t="shared" si="5"/>
        <v>10.756902380358612</v>
      </c>
      <c r="O17">
        <f t="shared" si="5"/>
        <v>-3.0651270114927351</v>
      </c>
      <c r="R17" s="2"/>
      <c r="S17" s="2"/>
      <c r="T17" s="2"/>
      <c r="U17" s="2"/>
      <c r="V17" s="2"/>
      <c r="W17" s="2"/>
      <c r="Y17" s="2">
        <f t="shared" si="1"/>
        <v>7.2565867844591141</v>
      </c>
      <c r="Z17" s="2"/>
      <c r="AA17" s="2"/>
      <c r="AB17" s="2"/>
      <c r="AC17" s="2"/>
      <c r="AD17" s="2"/>
      <c r="AE17" s="3">
        <f t="shared" si="6"/>
        <v>2011</v>
      </c>
      <c r="AF17" s="2"/>
      <c r="AG17" s="2"/>
      <c r="AH17" s="2"/>
      <c r="AI17" s="2"/>
      <c r="AJ17" s="2"/>
      <c r="AK17" s="2"/>
      <c r="AM17" s="2">
        <f t="shared" si="2"/>
        <v>1417.4103443405322</v>
      </c>
      <c r="AN17" s="2"/>
      <c r="AO17" s="2"/>
      <c r="AP17" s="2"/>
      <c r="AQ17" s="2"/>
      <c r="AS17" s="2">
        <f t="shared" si="7"/>
        <v>1341.4922189194037</v>
      </c>
      <c r="AT17" s="2"/>
      <c r="AU17" s="2"/>
      <c r="AV17" s="2"/>
      <c r="AW17" s="2"/>
      <c r="AY17" s="8">
        <v>5.6592296511627907E-2</v>
      </c>
    </row>
    <row r="18" spans="2:51" x14ac:dyDescent="0.25">
      <c r="B18">
        <f t="shared" si="3"/>
        <v>2012</v>
      </c>
      <c r="C18" s="1">
        <v>1373.4564213329013</v>
      </c>
      <c r="D18" s="1">
        <v>1467.36999767168</v>
      </c>
      <c r="F18">
        <v>48652</v>
      </c>
      <c r="G18" s="10">
        <v>4.3435416666666671E-2</v>
      </c>
      <c r="J18" s="2">
        <f t="shared" si="4"/>
        <v>7.2250857768433381</v>
      </c>
      <c r="K18" s="2">
        <f t="shared" si="0"/>
        <v>7.2912269601608832</v>
      </c>
      <c r="L18">
        <v>1</v>
      </c>
      <c r="N18">
        <f t="shared" si="5"/>
        <v>10.792448196738327</v>
      </c>
      <c r="O18">
        <f t="shared" si="5"/>
        <v>-3.1364801184380173</v>
      </c>
      <c r="R18" s="2"/>
      <c r="S18" s="2"/>
      <c r="T18" s="2"/>
      <c r="U18" s="2"/>
      <c r="V18" s="2"/>
      <c r="W18" s="2"/>
      <c r="Y18" s="2">
        <f t="shared" si="1"/>
        <v>7.2760061815402031</v>
      </c>
      <c r="Z18" s="2"/>
      <c r="AA18" s="2"/>
      <c r="AB18" s="2"/>
      <c r="AC18" s="2"/>
      <c r="AD18" s="2"/>
      <c r="AE18" s="3">
        <f t="shared" si="6"/>
        <v>2012</v>
      </c>
      <c r="AF18" s="2"/>
      <c r="AG18" s="2"/>
      <c r="AH18" s="2"/>
      <c r="AI18" s="2"/>
      <c r="AJ18" s="2"/>
      <c r="AK18" s="2"/>
      <c r="AM18" s="2">
        <f t="shared" si="2"/>
        <v>1445.2045990191784</v>
      </c>
      <c r="AN18" s="2"/>
      <c r="AO18" s="2"/>
      <c r="AP18" s="2"/>
      <c r="AQ18" s="2"/>
      <c r="AS18" s="2">
        <f t="shared" si="7"/>
        <v>1352.7096368416094</v>
      </c>
      <c r="AT18" s="2"/>
      <c r="AU18" s="2"/>
      <c r="AV18" s="2"/>
      <c r="AW18" s="2"/>
      <c r="AY18" s="8">
        <v>6.8377543604651161E-2</v>
      </c>
    </row>
    <row r="19" spans="2:51" x14ac:dyDescent="0.25">
      <c r="B19">
        <f t="shared" si="3"/>
        <v>2013</v>
      </c>
      <c r="C19" s="1">
        <v>1330.8952983384631</v>
      </c>
      <c r="D19" s="1">
        <v>1437.5835795796884</v>
      </c>
      <c r="E19" s="3"/>
      <c r="F19" s="3">
        <v>50412.47852107427</v>
      </c>
      <c r="G19" s="10">
        <v>3.1337499999999997E-2</v>
      </c>
      <c r="J19" s="2">
        <f t="shared" si="4"/>
        <v>7.1936071513929525</v>
      </c>
      <c r="K19" s="2">
        <f t="shared" si="0"/>
        <v>7.2707189132976113</v>
      </c>
      <c r="L19">
        <v>1</v>
      </c>
      <c r="N19">
        <f t="shared" si="5"/>
        <v>10.827994013118042</v>
      </c>
      <c r="O19">
        <f t="shared" si="5"/>
        <v>-3.4629398154977253</v>
      </c>
      <c r="R19" s="2"/>
      <c r="S19" s="2"/>
      <c r="T19" s="2"/>
      <c r="U19" s="2"/>
      <c r="V19" s="2"/>
      <c r="W19" s="2"/>
      <c r="Y19" s="2">
        <f t="shared" si="1"/>
        <v>7.281870456102812</v>
      </c>
      <c r="Z19" s="2"/>
      <c r="AA19" s="2"/>
      <c r="AB19" s="2"/>
      <c r="AC19" s="2"/>
      <c r="AD19" s="2"/>
      <c r="AE19" s="3">
        <f t="shared" si="6"/>
        <v>2013</v>
      </c>
      <c r="AF19" s="2"/>
      <c r="AG19" s="2"/>
      <c r="AH19" s="2"/>
      <c r="AI19" s="2"/>
      <c r="AJ19" s="2"/>
      <c r="AK19" s="2"/>
      <c r="AM19" s="2">
        <f t="shared" si="2"/>
        <v>1453.7045743221504</v>
      </c>
      <c r="AN19" s="2"/>
      <c r="AO19" s="2"/>
      <c r="AP19" s="2"/>
      <c r="AQ19" s="2"/>
      <c r="AS19" s="2">
        <f t="shared" si="7"/>
        <v>1345.8198957059112</v>
      </c>
      <c r="AT19" s="2"/>
      <c r="AU19" s="2"/>
      <c r="AV19" s="2"/>
      <c r="AW19" s="2"/>
      <c r="AY19" s="8">
        <v>8.0162790697674416E-2</v>
      </c>
    </row>
    <row r="20" spans="2:51" x14ac:dyDescent="0.25">
      <c r="B20" s="4">
        <f t="shared" si="3"/>
        <v>2014</v>
      </c>
      <c r="E20" s="3"/>
      <c r="F20" s="3">
        <f>+'Data BIS V SKM'!H24</f>
        <v>50883.822487920152</v>
      </c>
      <c r="G20" s="10">
        <f>+'Data BIS V SKM'!Y24</f>
        <v>2.6249999999999999E-2</v>
      </c>
      <c r="I20" s="16"/>
      <c r="L20">
        <v>1</v>
      </c>
      <c r="N20">
        <f t="shared" ref="N20:N25" si="8">LN(F20)</f>
        <v>10.837300322706227</v>
      </c>
      <c r="O20">
        <f t="shared" ref="O20:O25" si="9">LN(G20)</f>
        <v>-3.6400892899445045</v>
      </c>
      <c r="R20" s="2"/>
      <c r="S20" s="2"/>
      <c r="T20" s="2"/>
      <c r="U20" s="2"/>
      <c r="V20" s="2"/>
      <c r="W20" s="2"/>
      <c r="Y20" s="2">
        <f t="shared" ref="Y20:Y25" si="10">SUMPRODUCT($S$47:$W$47,L20:P20)</f>
        <v>7.2785344415337576</v>
      </c>
      <c r="Z20" s="2"/>
      <c r="AA20" s="2"/>
      <c r="AB20" s="2"/>
      <c r="AC20" s="2"/>
      <c r="AE20" s="3">
        <f t="shared" si="6"/>
        <v>2014</v>
      </c>
      <c r="AF20" s="2"/>
      <c r="AG20" s="2"/>
      <c r="AH20" s="2"/>
      <c r="AI20" s="2"/>
      <c r="AJ20" s="2"/>
      <c r="AK20" s="2"/>
      <c r="AM20" s="2">
        <f t="shared" si="2"/>
        <v>1448.8630748296162</v>
      </c>
      <c r="AN20" s="2"/>
      <c r="AO20" s="2"/>
      <c r="AP20" s="2"/>
      <c r="AQ20" s="2"/>
      <c r="AS20" s="2">
        <f t="shared" si="7"/>
        <v>1321.5236154580823</v>
      </c>
      <c r="AT20" s="2"/>
      <c r="AU20" s="2"/>
      <c r="AV20" s="2"/>
      <c r="AW20" s="2"/>
      <c r="AY20" s="8">
        <v>9.6358065706902904E-2</v>
      </c>
    </row>
    <row r="21" spans="2:51" x14ac:dyDescent="0.25">
      <c r="B21" s="4">
        <f t="shared" si="3"/>
        <v>2015</v>
      </c>
      <c r="E21" s="3"/>
      <c r="F21" s="3">
        <f>+'Data BIS V SKM'!H25</f>
        <v>51202.920984819226</v>
      </c>
      <c r="G21" s="10">
        <f>+'Data BIS V SKM'!Y25</f>
        <v>2.6249999999999999E-2</v>
      </c>
      <c r="H21" s="12"/>
      <c r="I21" s="16"/>
      <c r="L21">
        <v>1</v>
      </c>
      <c r="N21">
        <f t="shared" si="8"/>
        <v>10.843551859885032</v>
      </c>
      <c r="O21">
        <f t="shared" si="9"/>
        <v>-3.6400892899445045</v>
      </c>
      <c r="R21" s="2"/>
      <c r="S21" s="2"/>
      <c r="T21" s="2"/>
      <c r="U21" s="2"/>
      <c r="V21" s="2"/>
      <c r="W21" s="2"/>
      <c r="Y21" s="2">
        <f t="shared" si="10"/>
        <v>7.2826165784953618</v>
      </c>
      <c r="Z21" s="2"/>
      <c r="AA21" s="2"/>
      <c r="AB21" s="2"/>
      <c r="AC21" s="2"/>
      <c r="AE21" s="3">
        <f t="shared" si="6"/>
        <v>2015</v>
      </c>
      <c r="AF21" s="2"/>
      <c r="AG21" s="2"/>
      <c r="AH21" s="2"/>
      <c r="AI21" s="2"/>
      <c r="AJ21" s="2"/>
      <c r="AK21" s="2"/>
      <c r="AM21" s="2">
        <f t="shared" si="2"/>
        <v>1454.789620595528</v>
      </c>
      <c r="AN21" s="2"/>
      <c r="AO21" s="2"/>
      <c r="AP21" s="2"/>
      <c r="AQ21" s="2"/>
      <c r="AS21" s="2">
        <f t="shared" si="7"/>
        <v>1304.4680916071982</v>
      </c>
      <c r="AT21" s="2"/>
      <c r="AU21" s="2"/>
      <c r="AV21" s="2"/>
      <c r="AW21" s="2"/>
      <c r="AY21" s="8">
        <v>0.11523588039867108</v>
      </c>
    </row>
    <row r="22" spans="2:51" x14ac:dyDescent="0.25">
      <c r="B22" s="4">
        <f t="shared" si="3"/>
        <v>2016</v>
      </c>
      <c r="E22" s="3"/>
      <c r="F22" s="3">
        <f>+'Data BIS V SKM'!H26</f>
        <v>51933.876685394367</v>
      </c>
      <c r="G22" s="10">
        <f>+'Data BIS V SKM'!Y26</f>
        <v>3.125E-2</v>
      </c>
      <c r="H22" s="12"/>
      <c r="I22" s="16"/>
      <c r="L22">
        <v>1</v>
      </c>
      <c r="N22">
        <f t="shared" si="8"/>
        <v>10.857726586187491</v>
      </c>
      <c r="O22">
        <f t="shared" si="9"/>
        <v>-3.4657359027997265</v>
      </c>
      <c r="R22" s="2"/>
      <c r="S22" s="2"/>
      <c r="T22" s="2"/>
      <c r="U22" s="2"/>
      <c r="V22" s="2"/>
      <c r="W22" s="2"/>
      <c r="Y22" s="2">
        <f t="shared" si="10"/>
        <v>7.3011367002647907</v>
      </c>
      <c r="Z22" s="2"/>
      <c r="AA22" s="2"/>
      <c r="AB22" s="2"/>
      <c r="AC22" s="2"/>
      <c r="AE22" s="3">
        <f t="shared" si="6"/>
        <v>2016</v>
      </c>
      <c r="AF22" s="2"/>
      <c r="AG22" s="2"/>
      <c r="AH22" s="2"/>
      <c r="AI22" s="2"/>
      <c r="AJ22" s="2"/>
      <c r="AK22" s="2"/>
      <c r="AM22" s="2">
        <f t="shared" si="2"/>
        <v>1481.9835416051703</v>
      </c>
      <c r="AN22" s="2"/>
      <c r="AO22" s="2"/>
      <c r="AP22" s="2"/>
      <c r="AQ22" s="2"/>
      <c r="AS22" s="2">
        <f t="shared" si="7"/>
        <v>1308.1608799751075</v>
      </c>
      <c r="AT22" s="2"/>
      <c r="AU22" s="2"/>
      <c r="AV22" s="2"/>
      <c r="AW22" s="2"/>
      <c r="AY22" s="8">
        <v>0.13287559985234401</v>
      </c>
    </row>
    <row r="23" spans="2:51" x14ac:dyDescent="0.25">
      <c r="B23" s="4">
        <f t="shared" si="3"/>
        <v>2017</v>
      </c>
      <c r="E23" s="3"/>
      <c r="F23" s="3">
        <f>+'Data BIS V SKM'!H27</f>
        <v>53884.493285549739</v>
      </c>
      <c r="G23" s="10">
        <f>+'Data BIS V SKM'!Y27</f>
        <v>3.7499999999999999E-2</v>
      </c>
      <c r="H23" s="12"/>
      <c r="I23" s="16"/>
      <c r="L23">
        <v>1</v>
      </c>
      <c r="N23">
        <f t="shared" si="8"/>
        <v>10.894598021359544</v>
      </c>
      <c r="O23">
        <f t="shared" si="9"/>
        <v>-3.2834143460057721</v>
      </c>
      <c r="R23" s="2"/>
      <c r="S23" s="2"/>
      <c r="T23" s="2"/>
      <c r="U23" s="2"/>
      <c r="V23" s="2"/>
      <c r="W23" s="2"/>
      <c r="Y23" s="2">
        <f t="shared" si="10"/>
        <v>7.3349007385672991</v>
      </c>
      <c r="Z23" s="2"/>
      <c r="AA23" s="2"/>
      <c r="AB23" s="2"/>
      <c r="AC23" s="2"/>
      <c r="AE23" s="3">
        <f t="shared" si="6"/>
        <v>2017</v>
      </c>
      <c r="AF23" s="2"/>
      <c r="AG23" s="2"/>
      <c r="AH23" s="2"/>
      <c r="AI23" s="2"/>
      <c r="AJ23" s="2"/>
      <c r="AK23" s="2"/>
      <c r="AM23" s="2">
        <f t="shared" si="2"/>
        <v>1532.8756169594856</v>
      </c>
      <c r="AN23" s="2"/>
      <c r="AO23" s="2"/>
      <c r="AP23" s="2"/>
      <c r="AQ23" s="2"/>
      <c r="AS23" s="2">
        <f t="shared" si="7"/>
        <v>1338.8216045905995</v>
      </c>
      <c r="AT23" s="2"/>
      <c r="AU23" s="2"/>
      <c r="AV23" s="2"/>
      <c r="AW23" s="2"/>
      <c r="AY23" s="8">
        <v>0.14494389073458841</v>
      </c>
    </row>
    <row r="24" spans="2:51" x14ac:dyDescent="0.25">
      <c r="B24" s="4">
        <f t="shared" si="3"/>
        <v>2018</v>
      </c>
      <c r="E24" s="3"/>
      <c r="F24" s="3">
        <f>+'Data BIS V SKM'!H28</f>
        <v>55930.513395273621</v>
      </c>
      <c r="G24" s="10">
        <f>+'Data BIS V SKM'!Y28</f>
        <v>3.6249999999999998E-2</v>
      </c>
      <c r="H24" s="12"/>
      <c r="I24" s="16"/>
      <c r="L24">
        <v>1</v>
      </c>
      <c r="N24">
        <f t="shared" si="8"/>
        <v>10.931865367020306</v>
      </c>
      <c r="O24">
        <f t="shared" si="9"/>
        <v>-3.3173158976814534</v>
      </c>
      <c r="R24" s="2"/>
      <c r="S24" s="2"/>
      <c r="T24" s="2"/>
      <c r="U24" s="2"/>
      <c r="V24" s="2"/>
      <c r="W24" s="2"/>
      <c r="Y24" s="2">
        <f t="shared" si="10"/>
        <v>7.3574342554595233</v>
      </c>
      <c r="Z24" s="2"/>
      <c r="AA24" s="2"/>
      <c r="AB24" s="2"/>
      <c r="AC24" s="2"/>
      <c r="AE24" s="3">
        <f t="shared" si="6"/>
        <v>2018</v>
      </c>
      <c r="AF24" s="2"/>
      <c r="AG24" s="2"/>
      <c r="AH24" s="2"/>
      <c r="AI24" s="2"/>
      <c r="AJ24" s="2"/>
      <c r="AK24" s="2"/>
      <c r="AM24" s="2">
        <f t="shared" si="2"/>
        <v>1567.8088011912482</v>
      </c>
      <c r="AN24" s="2"/>
      <c r="AO24" s="2"/>
      <c r="AP24" s="2"/>
      <c r="AQ24" s="2"/>
      <c r="AS24" s="2">
        <f t="shared" si="7"/>
        <v>1358.4413477051455</v>
      </c>
      <c r="AT24" s="2"/>
      <c r="AU24" s="2"/>
      <c r="AV24" s="2"/>
      <c r="AW24" s="2"/>
      <c r="AY24" s="8">
        <v>0.15412329272794387</v>
      </c>
    </row>
    <row r="25" spans="2:51" x14ac:dyDescent="0.25">
      <c r="B25" s="4">
        <f t="shared" si="3"/>
        <v>2019</v>
      </c>
      <c r="E25" s="3"/>
      <c r="F25" s="3">
        <f>+'Data BIS V SKM'!H29</f>
        <v>57507.177619645852</v>
      </c>
      <c r="G25" s="10">
        <f>+'Data BIS V SKM'!Y29</f>
        <v>3.5000000000000003E-2</v>
      </c>
      <c r="H25" s="12"/>
      <c r="I25" s="16"/>
      <c r="L25">
        <v>1</v>
      </c>
      <c r="N25">
        <f t="shared" si="8"/>
        <v>10.959665047162808</v>
      </c>
      <c r="O25">
        <f t="shared" si="9"/>
        <v>-3.3524072174927233</v>
      </c>
      <c r="R25" s="2"/>
      <c r="S25" s="2"/>
      <c r="T25" s="2"/>
      <c r="U25" s="2"/>
      <c r="V25" s="2"/>
      <c r="W25" s="2"/>
      <c r="Y25" s="2">
        <f t="shared" si="10"/>
        <v>7.3737223451932508</v>
      </c>
      <c r="Z25" s="2"/>
      <c r="AA25" s="2"/>
      <c r="AB25" s="2"/>
      <c r="AC25" s="2"/>
      <c r="AE25" s="3">
        <f t="shared" si="6"/>
        <v>2019</v>
      </c>
      <c r="AF25" s="2"/>
      <c r="AG25" s="2"/>
      <c r="AH25" s="2"/>
      <c r="AI25" s="2"/>
      <c r="AJ25" s="2"/>
      <c r="AK25" s="2"/>
      <c r="AM25" s="2">
        <f t="shared" si="2"/>
        <v>1593.5545166962315</v>
      </c>
      <c r="AN25" s="2"/>
      <c r="AO25" s="2"/>
      <c r="AP25" s="2"/>
      <c r="AQ25" s="2"/>
      <c r="AS25" s="2">
        <f t="shared" si="7"/>
        <v>1369.8537138504701</v>
      </c>
      <c r="AT25" s="2"/>
      <c r="AU25" s="2"/>
      <c r="AV25" s="2"/>
      <c r="AW25" s="2"/>
      <c r="AY25" s="8">
        <v>0.16330269472129935</v>
      </c>
    </row>
    <row r="28" spans="2:51" x14ac:dyDescent="0.25">
      <c r="C28" s="15"/>
      <c r="E28" s="15"/>
      <c r="F28" s="15"/>
      <c r="G28" s="15"/>
      <c r="H28" s="15"/>
      <c r="I28" s="15"/>
    </row>
    <row r="29" spans="2:51" x14ac:dyDescent="0.25">
      <c r="D29" s="12"/>
      <c r="E29" s="12"/>
      <c r="F29" s="12"/>
    </row>
    <row r="30" spans="2:51" x14ac:dyDescent="0.25">
      <c r="D30" s="12"/>
      <c r="E30" s="12"/>
      <c r="F30" s="12"/>
      <c r="G30" s="12"/>
      <c r="H30" s="12"/>
      <c r="I30" s="12"/>
    </row>
    <row r="31" spans="2:51" x14ac:dyDescent="0.25">
      <c r="C31" s="12"/>
      <c r="D31" s="12"/>
      <c r="E31" s="12"/>
      <c r="F31" s="12"/>
      <c r="G31" s="12"/>
      <c r="H31" s="12"/>
      <c r="I31" s="12"/>
    </row>
    <row r="32" spans="2:51" x14ac:dyDescent="0.25">
      <c r="D32" s="12"/>
      <c r="E32" s="12"/>
      <c r="F32" s="12"/>
      <c r="G32" s="12"/>
      <c r="H32" s="17"/>
      <c r="I32" s="12"/>
    </row>
    <row r="37" spans="16:23" x14ac:dyDescent="0.25">
      <c r="P37" s="28"/>
      <c r="Q37" s="29"/>
      <c r="R37" s="28"/>
      <c r="S37" s="2"/>
      <c r="T37" s="2"/>
      <c r="U37" s="2"/>
      <c r="V37" s="2"/>
      <c r="W37" s="2"/>
    </row>
    <row r="38" spans="16:23" x14ac:dyDescent="0.25">
      <c r="P38" s="28"/>
      <c r="Q38" s="29"/>
      <c r="R38" s="28"/>
      <c r="S38" s="2"/>
      <c r="T38" s="2"/>
      <c r="U38" s="2"/>
      <c r="V38" s="2"/>
      <c r="W38" s="2"/>
    </row>
    <row r="39" spans="16:23" x14ac:dyDescent="0.25">
      <c r="P39" s="28"/>
      <c r="Q39" s="29"/>
      <c r="R39" s="28"/>
      <c r="S39" s="2"/>
      <c r="T39" s="2"/>
      <c r="U39" s="2"/>
      <c r="V39" s="2"/>
      <c r="W39" s="2"/>
    </row>
    <row r="40" spans="16:23" x14ac:dyDescent="0.25">
      <c r="P40" s="28"/>
      <c r="Q40" s="29"/>
      <c r="R40" s="28"/>
      <c r="S40" s="2"/>
      <c r="T40" s="2"/>
      <c r="U40" s="2"/>
      <c r="V40" s="2"/>
      <c r="W40" s="2"/>
    </row>
    <row r="41" spans="16:23" x14ac:dyDescent="0.25">
      <c r="P41" s="28"/>
      <c r="Q41" s="29"/>
      <c r="R41" s="28"/>
      <c r="S41" s="2"/>
      <c r="T41" s="2"/>
      <c r="U41" s="2"/>
      <c r="V41" s="2"/>
      <c r="W41" s="2"/>
    </row>
    <row r="42" spans="16:23" x14ac:dyDescent="0.25">
      <c r="S42" s="2"/>
      <c r="T42" s="2"/>
      <c r="U42" s="2"/>
      <c r="V42" s="2"/>
      <c r="W42" s="2"/>
    </row>
    <row r="44" spans="16:23" x14ac:dyDescent="0.25">
      <c r="R44" t="s">
        <v>3</v>
      </c>
    </row>
    <row r="45" spans="16:23" x14ac:dyDescent="0.25">
      <c r="R45" t="s">
        <v>6</v>
      </c>
    </row>
    <row r="46" spans="16:23" ht="15.75" thickBot="1" x14ac:dyDescent="0.3"/>
    <row r="47" spans="16:23" x14ac:dyDescent="0.25">
      <c r="Q47" s="30" t="s">
        <v>21</v>
      </c>
      <c r="R47" t="str">
        <f>Q47</f>
        <v>LV6</v>
      </c>
      <c r="S47" s="2">
        <v>0.39539646394519601</v>
      </c>
      <c r="T47" s="2">
        <v>0</v>
      </c>
      <c r="U47" s="2">
        <v>0.65298131401087101</v>
      </c>
      <c r="V47" s="2">
        <v>5.3135132700422298E-2</v>
      </c>
      <c r="W47" s="2">
        <v>0</v>
      </c>
    </row>
    <row r="48" spans="16:23" x14ac:dyDescent="0.25">
      <c r="Q48" s="32"/>
      <c r="S48" s="2"/>
      <c r="T48" s="2"/>
      <c r="U48" s="2"/>
      <c r="V48" s="2"/>
      <c r="W48" s="2"/>
    </row>
    <row r="49" spans="17:26" x14ac:dyDescent="0.25">
      <c r="Q49" s="29"/>
      <c r="S49" s="2"/>
      <c r="T49" s="2"/>
      <c r="U49" s="2"/>
      <c r="V49" s="2"/>
      <c r="W49" s="2"/>
    </row>
    <row r="50" spans="17:26" x14ac:dyDescent="0.25">
      <c r="Q50" s="29"/>
      <c r="S50" s="2"/>
      <c r="T50" s="2"/>
      <c r="U50" s="2"/>
      <c r="V50" s="2"/>
      <c r="W50" s="2"/>
    </row>
    <row r="51" spans="17:26" x14ac:dyDescent="0.25">
      <c r="Q51" s="29"/>
      <c r="S51" s="2"/>
      <c r="T51" s="2"/>
      <c r="U51" s="2"/>
      <c r="V51" s="2"/>
      <c r="W51" s="2"/>
    </row>
    <row r="54" spans="17:26" x14ac:dyDescent="0.25">
      <c r="R54" s="22"/>
      <c r="T54" s="12"/>
      <c r="U54" s="12"/>
      <c r="V54" s="12"/>
      <c r="W54" s="12"/>
      <c r="X54" s="21"/>
    </row>
    <row r="55" spans="17:26" x14ac:dyDescent="0.25">
      <c r="T55" s="11"/>
      <c r="U55" s="11"/>
      <c r="V55" s="11"/>
      <c r="W55" s="11"/>
      <c r="X55" s="11"/>
      <c r="Y55" s="11"/>
      <c r="Z55" s="11"/>
    </row>
    <row r="56" spans="17:26" x14ac:dyDescent="0.25">
      <c r="T56" s="11"/>
      <c r="U56" s="11"/>
      <c r="V56" s="11"/>
      <c r="W56" s="11"/>
      <c r="X56" s="11"/>
      <c r="Y56" s="11"/>
      <c r="Z56" s="1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AU56"/>
  <sheetViews>
    <sheetView workbookViewId="0">
      <selection activeCell="F22" sqref="F22"/>
    </sheetView>
  </sheetViews>
  <sheetFormatPr defaultRowHeight="15" x14ac:dyDescent="0.25"/>
  <cols>
    <col min="18" max="22" width="9.5703125" bestFit="1" customWidth="1"/>
    <col min="30" max="30" width="9.5703125" bestFit="1" customWidth="1"/>
  </cols>
  <sheetData>
    <row r="2" spans="2:47" x14ac:dyDescent="0.25">
      <c r="AE2" t="s">
        <v>0</v>
      </c>
    </row>
    <row r="3" spans="2:47" x14ac:dyDescent="0.25">
      <c r="C3" t="s">
        <v>1</v>
      </c>
      <c r="J3" t="s">
        <v>2</v>
      </c>
      <c r="R3" t="s">
        <v>3</v>
      </c>
      <c r="X3" t="s">
        <v>3</v>
      </c>
    </row>
    <row r="4" spans="2:47" x14ac:dyDescent="0.25">
      <c r="C4" t="s">
        <v>22</v>
      </c>
      <c r="J4" t="s">
        <v>22</v>
      </c>
      <c r="X4" t="s">
        <v>6</v>
      </c>
      <c r="AK4" t="s">
        <v>6</v>
      </c>
      <c r="AP4" t="s">
        <v>7</v>
      </c>
    </row>
    <row r="5" spans="2:47" x14ac:dyDescent="0.25">
      <c r="C5" t="s">
        <v>19</v>
      </c>
      <c r="D5" t="s">
        <v>8</v>
      </c>
      <c r="F5" t="s">
        <v>20</v>
      </c>
      <c r="J5" t="s">
        <v>19</v>
      </c>
      <c r="K5" t="s">
        <v>8</v>
      </c>
      <c r="L5" t="s">
        <v>12</v>
      </c>
      <c r="N5" t="s">
        <v>20</v>
      </c>
      <c r="X5" t="s">
        <v>23</v>
      </c>
      <c r="AK5" t="str">
        <f t="shared" ref="AK5" si="0">X5</f>
        <v>HV6</v>
      </c>
      <c r="AP5" t="str">
        <f>AK5</f>
        <v>HV6</v>
      </c>
      <c r="AU5" t="s">
        <v>13</v>
      </c>
    </row>
    <row r="6" spans="2:47" x14ac:dyDescent="0.25">
      <c r="B6">
        <v>2000</v>
      </c>
      <c r="C6" s="1">
        <v>317.72938399999998</v>
      </c>
      <c r="D6" s="1">
        <v>319.05941397953484</v>
      </c>
      <c r="F6">
        <v>28556</v>
      </c>
      <c r="G6" s="10"/>
      <c r="J6" s="2">
        <f>LN(C6)</f>
        <v>5.7612000267687788</v>
      </c>
      <c r="K6" s="2">
        <f t="shared" ref="K6:K19" si="1">LN(D6)</f>
        <v>5.7653773361618779</v>
      </c>
      <c r="L6">
        <v>1</v>
      </c>
      <c r="N6">
        <f>LN(F6)</f>
        <v>10.259622350622351</v>
      </c>
      <c r="R6" s="2"/>
      <c r="S6" s="2"/>
      <c r="T6" s="2"/>
      <c r="U6" s="2"/>
      <c r="V6" s="2"/>
      <c r="X6" s="2">
        <f t="shared" ref="X6:X19" si="2">SUMPRODUCT($S$46:$W$46,L6:P6)</f>
        <v>5.7573838179109718</v>
      </c>
      <c r="Y6" s="2"/>
      <c r="Z6" s="2"/>
      <c r="AA6" s="2"/>
      <c r="AB6" s="2"/>
      <c r="AD6">
        <f t="shared" ref="AD6:AD25" si="3">B6</f>
        <v>2000</v>
      </c>
      <c r="AE6" s="2"/>
      <c r="AF6" s="2"/>
      <c r="AG6" s="2"/>
      <c r="AH6" s="2"/>
      <c r="AI6" s="2"/>
      <c r="AK6" s="2">
        <f t="shared" ref="AK6:AK19" si="4">EXP(X6)</f>
        <v>316.51917298812225</v>
      </c>
      <c r="AL6" s="2"/>
      <c r="AM6" s="2"/>
      <c r="AN6" s="2"/>
      <c r="AP6" s="2">
        <f>AK6/(1+$AU6)</f>
        <v>315.19973224847746</v>
      </c>
      <c r="AQ6" s="2"/>
      <c r="AR6" s="2"/>
      <c r="AS6" s="2"/>
      <c r="AU6" s="8">
        <v>4.1860465116279064E-3</v>
      </c>
    </row>
    <row r="7" spans="2:47" x14ac:dyDescent="0.25">
      <c r="B7">
        <f t="shared" ref="B7:B25" si="5">B6+1</f>
        <v>2001</v>
      </c>
      <c r="C7" s="1">
        <v>317.11404900000002</v>
      </c>
      <c r="D7" s="1">
        <v>318.83973940618608</v>
      </c>
      <c r="F7">
        <v>29080</v>
      </c>
      <c r="G7" s="10"/>
      <c r="J7" s="2">
        <f t="shared" ref="J7:J19" si="6">LN(C7)</f>
        <v>5.7592614851986417</v>
      </c>
      <c r="K7" s="2">
        <f t="shared" si="1"/>
        <v>5.7646885922409403</v>
      </c>
      <c r="L7">
        <v>1</v>
      </c>
      <c r="N7">
        <f t="shared" ref="N7:N19" si="7">LN(F7)</f>
        <v>10.277805931647455</v>
      </c>
      <c r="R7" s="2"/>
      <c r="S7" s="2"/>
      <c r="T7" s="2"/>
      <c r="U7" s="2"/>
      <c r="V7" s="2"/>
      <c r="X7" s="2">
        <f t="shared" si="2"/>
        <v>5.7656682567164044</v>
      </c>
      <c r="Y7" s="2"/>
      <c r="Z7" s="2"/>
      <c r="AA7" s="2"/>
      <c r="AB7" s="2"/>
      <c r="AD7">
        <f t="shared" si="3"/>
        <v>2001</v>
      </c>
      <c r="AE7" s="2"/>
      <c r="AF7" s="2"/>
      <c r="AG7" s="2"/>
      <c r="AH7" s="2"/>
      <c r="AI7" s="2"/>
      <c r="AK7" s="2">
        <f t="shared" si="4"/>
        <v>319.15224842424607</v>
      </c>
      <c r="AL7" s="2"/>
      <c r="AM7" s="2"/>
      <c r="AN7" s="2"/>
      <c r="AP7" s="2">
        <f t="shared" ref="AP7:AP25" si="8">AK7/(1+$AU7)</f>
        <v>317.42486659209374</v>
      </c>
      <c r="AQ7" s="2"/>
      <c r="AR7" s="2"/>
      <c r="AS7" s="2"/>
      <c r="AU7" s="8">
        <v>5.4418604651162786E-3</v>
      </c>
    </row>
    <row r="8" spans="2:47" x14ac:dyDescent="0.25">
      <c r="B8">
        <f t="shared" si="5"/>
        <v>2002</v>
      </c>
      <c r="C8" s="1">
        <v>323.40459900000002</v>
      </c>
      <c r="D8" s="1">
        <v>325.57065770958144</v>
      </c>
      <c r="F8">
        <v>30804</v>
      </c>
      <c r="G8" s="10"/>
      <c r="J8" s="2">
        <f t="shared" si="6"/>
        <v>5.7789041678211133</v>
      </c>
      <c r="K8" s="2">
        <f t="shared" si="1"/>
        <v>5.7855795124679847</v>
      </c>
      <c r="L8">
        <v>1</v>
      </c>
      <c r="N8">
        <f t="shared" si="7"/>
        <v>10.33539983065914</v>
      </c>
      <c r="R8" s="2"/>
      <c r="S8" s="2"/>
      <c r="T8" s="2"/>
      <c r="U8" s="2"/>
      <c r="V8" s="2"/>
      <c r="X8" s="2">
        <f t="shared" si="2"/>
        <v>5.7919080348585528</v>
      </c>
      <c r="Y8" s="2"/>
      <c r="Z8" s="2"/>
      <c r="AA8" s="2"/>
      <c r="AB8" s="2"/>
      <c r="AD8">
        <f t="shared" si="3"/>
        <v>2002</v>
      </c>
      <c r="AE8" s="2"/>
      <c r="AF8" s="2"/>
      <c r="AG8" s="2"/>
      <c r="AH8" s="2"/>
      <c r="AI8" s="2"/>
      <c r="AK8" s="2">
        <f t="shared" si="4"/>
        <v>327.63757226577616</v>
      </c>
      <c r="AL8" s="2"/>
      <c r="AM8" s="2"/>
      <c r="AN8" s="2"/>
      <c r="AP8" s="2">
        <f t="shared" si="8"/>
        <v>325.45776213796836</v>
      </c>
      <c r="AQ8" s="2"/>
      <c r="AR8" s="2"/>
      <c r="AS8" s="2"/>
      <c r="AU8" s="8">
        <v>6.6976744186046508E-3</v>
      </c>
    </row>
    <row r="9" spans="2:47" x14ac:dyDescent="0.25">
      <c r="B9">
        <f t="shared" si="5"/>
        <v>2003</v>
      </c>
      <c r="C9" s="1">
        <v>332.39192450000002</v>
      </c>
      <c r="D9" s="1">
        <v>335.46824074891532</v>
      </c>
      <c r="F9">
        <v>33324</v>
      </c>
      <c r="G9" s="10"/>
      <c r="J9" s="2">
        <f t="shared" si="6"/>
        <v>5.8063147681615073</v>
      </c>
      <c r="K9" s="2">
        <f t="shared" si="1"/>
        <v>5.8155272894836179</v>
      </c>
      <c r="L9">
        <v>1</v>
      </c>
      <c r="N9">
        <f t="shared" si="7"/>
        <v>10.414033137094799</v>
      </c>
      <c r="R9" s="2"/>
      <c r="S9" s="2"/>
      <c r="T9" s="2"/>
      <c r="U9" s="2"/>
      <c r="V9" s="2"/>
      <c r="X9" s="2">
        <f t="shared" si="2"/>
        <v>5.8277333662020112</v>
      </c>
      <c r="Y9" s="2"/>
      <c r="Z9" s="2"/>
      <c r="AA9" s="2"/>
      <c r="AB9" s="2"/>
      <c r="AD9">
        <f t="shared" si="3"/>
        <v>2003</v>
      </c>
      <c r="AE9" s="2"/>
      <c r="AF9" s="2"/>
      <c r="AG9" s="2"/>
      <c r="AH9" s="2"/>
      <c r="AI9" s="2"/>
      <c r="AK9" s="2">
        <f t="shared" si="4"/>
        <v>339.58808424438519</v>
      </c>
      <c r="AL9" s="2"/>
      <c r="AM9" s="2"/>
      <c r="AN9" s="2"/>
      <c r="AP9" s="2">
        <f t="shared" si="8"/>
        <v>336.4739881404833</v>
      </c>
      <c r="AQ9" s="2"/>
      <c r="AR9" s="2"/>
      <c r="AS9" s="2"/>
      <c r="AU9" s="8">
        <v>9.2550872093023241E-3</v>
      </c>
    </row>
    <row r="10" spans="2:47" x14ac:dyDescent="0.25">
      <c r="B10">
        <f t="shared" si="5"/>
        <v>2004</v>
      </c>
      <c r="C10" s="1">
        <v>340.65742999999998</v>
      </c>
      <c r="D10" s="1">
        <v>344.681445891875</v>
      </c>
      <c r="F10">
        <v>34629</v>
      </c>
      <c r="G10" s="10"/>
      <c r="J10" s="2">
        <f t="shared" si="6"/>
        <v>5.8308773682250266</v>
      </c>
      <c r="K10" s="2">
        <f t="shared" si="1"/>
        <v>5.8426206452446143</v>
      </c>
      <c r="L10">
        <v>1</v>
      </c>
      <c r="N10">
        <f t="shared" si="7"/>
        <v>10.452446760283022</v>
      </c>
      <c r="R10" s="2"/>
      <c r="S10" s="2"/>
      <c r="T10" s="2"/>
      <c r="U10" s="2"/>
      <c r="V10" s="2"/>
      <c r="X10" s="2">
        <f t="shared" si="2"/>
        <v>5.8452346114274913</v>
      </c>
      <c r="Y10" s="2"/>
      <c r="Z10" s="2"/>
      <c r="AA10" s="2"/>
      <c r="AB10" s="2"/>
      <c r="AD10">
        <f t="shared" si="3"/>
        <v>2004</v>
      </c>
      <c r="AE10" s="2"/>
      <c r="AF10" s="2"/>
      <c r="AG10" s="2"/>
      <c r="AH10" s="2"/>
      <c r="AI10" s="2"/>
      <c r="AK10" s="2">
        <f t="shared" si="4"/>
        <v>345.58361013501923</v>
      </c>
      <c r="AL10" s="2"/>
      <c r="AM10" s="2"/>
      <c r="AN10" s="2"/>
      <c r="AP10" s="2">
        <f t="shared" si="8"/>
        <v>341.54906184201047</v>
      </c>
      <c r="AQ10" s="2"/>
      <c r="AR10" s="2"/>
      <c r="AS10" s="2"/>
      <c r="AU10" s="8">
        <v>1.1812499999999998E-2</v>
      </c>
    </row>
    <row r="11" spans="2:47" x14ac:dyDescent="0.25">
      <c r="B11">
        <f t="shared" si="5"/>
        <v>2005</v>
      </c>
      <c r="C11" s="1">
        <v>342.477487</v>
      </c>
      <c r="D11" s="1">
        <v>347.9723092968743</v>
      </c>
      <c r="F11">
        <v>36188</v>
      </c>
      <c r="G11" s="10"/>
      <c r="J11" s="2">
        <f t="shared" si="6"/>
        <v>5.8362059241550162</v>
      </c>
      <c r="K11" s="2">
        <f t="shared" si="1"/>
        <v>5.8521229056225419</v>
      </c>
      <c r="L11">
        <v>1</v>
      </c>
      <c r="N11">
        <f t="shared" si="7"/>
        <v>10.496482851145633</v>
      </c>
      <c r="R11" s="2"/>
      <c r="S11" s="2"/>
      <c r="T11" s="2"/>
      <c r="U11" s="2"/>
      <c r="V11" s="2"/>
      <c r="X11" s="2">
        <f t="shared" si="2"/>
        <v>5.8652974527060078</v>
      </c>
      <c r="Y11" s="2"/>
      <c r="Z11" s="2"/>
      <c r="AA11" s="2"/>
      <c r="AB11" s="2"/>
      <c r="AD11">
        <f t="shared" si="3"/>
        <v>2005</v>
      </c>
      <c r="AE11" s="2"/>
      <c r="AF11" s="2"/>
      <c r="AG11" s="2"/>
      <c r="AH11" s="2"/>
      <c r="AI11" s="2"/>
      <c r="AK11" s="2">
        <f t="shared" si="4"/>
        <v>352.58701847388664</v>
      </c>
      <c r="AL11" s="2"/>
      <c r="AM11" s="2"/>
      <c r="AN11" s="2"/>
      <c r="AP11" s="2">
        <f t="shared" si="8"/>
        <v>347.01932541631686</v>
      </c>
      <c r="AQ11" s="2"/>
      <c r="AR11" s="2"/>
      <c r="AS11" s="2"/>
      <c r="AU11" s="8">
        <v>1.6044331395348835E-2</v>
      </c>
    </row>
    <row r="12" spans="2:47" x14ac:dyDescent="0.25">
      <c r="B12">
        <f t="shared" si="5"/>
        <v>2006</v>
      </c>
      <c r="C12" s="1">
        <v>354.91126500000001</v>
      </c>
      <c r="D12" s="1">
        <v>362.25607109167152</v>
      </c>
      <c r="F12">
        <v>37575</v>
      </c>
      <c r="G12" s="10"/>
      <c r="J12" s="2">
        <f t="shared" si="6"/>
        <v>5.871867800484293</v>
      </c>
      <c r="K12" s="2">
        <f t="shared" si="1"/>
        <v>5.8923513404576537</v>
      </c>
      <c r="L12">
        <v>1</v>
      </c>
      <c r="N12">
        <f t="shared" si="7"/>
        <v>10.534094214621176</v>
      </c>
      <c r="R12" s="2"/>
      <c r="S12" s="2"/>
      <c r="T12" s="2"/>
      <c r="U12" s="2"/>
      <c r="V12" s="2"/>
      <c r="X12" s="2">
        <f t="shared" si="2"/>
        <v>5.8824331884376999</v>
      </c>
      <c r="Y12" s="2"/>
      <c r="Z12" s="2"/>
      <c r="AA12" s="2"/>
      <c r="AB12" s="2"/>
      <c r="AD12">
        <f t="shared" si="3"/>
        <v>2006</v>
      </c>
      <c r="AE12" s="2"/>
      <c r="AF12" s="2"/>
      <c r="AG12" s="2"/>
      <c r="AH12" s="2"/>
      <c r="AI12" s="2"/>
      <c r="AK12" s="2">
        <f t="shared" si="4"/>
        <v>358.6809190662575</v>
      </c>
      <c r="AL12" s="2"/>
      <c r="AM12" s="2"/>
      <c r="AN12" s="2"/>
      <c r="AP12" s="2">
        <f t="shared" si="8"/>
        <v>351.40859981599567</v>
      </c>
      <c r="AQ12" s="2"/>
      <c r="AR12" s="2"/>
      <c r="AS12" s="2"/>
      <c r="AU12" s="8">
        <v>2.0694767441860464E-2</v>
      </c>
    </row>
    <row r="13" spans="2:47" x14ac:dyDescent="0.25">
      <c r="B13">
        <f t="shared" si="5"/>
        <v>2007</v>
      </c>
      <c r="C13" s="1">
        <v>370.28824600000002</v>
      </c>
      <c r="D13" s="1">
        <v>379.67327694422238</v>
      </c>
      <c r="F13">
        <v>41946</v>
      </c>
      <c r="G13" s="10"/>
      <c r="J13" s="2">
        <f t="shared" si="6"/>
        <v>5.9142817455848364</v>
      </c>
      <c r="K13" s="2">
        <f t="shared" si="1"/>
        <v>5.9393110853673381</v>
      </c>
      <c r="L13">
        <v>1</v>
      </c>
      <c r="N13">
        <f t="shared" si="7"/>
        <v>10.64413835574004</v>
      </c>
      <c r="R13" s="2"/>
      <c r="S13" s="2"/>
      <c r="T13" s="2"/>
      <c r="U13" s="2"/>
      <c r="V13" s="2"/>
      <c r="X13" s="2">
        <f t="shared" si="2"/>
        <v>5.9325692948370339</v>
      </c>
      <c r="Y13" s="2"/>
      <c r="Z13" s="2"/>
      <c r="AA13" s="2"/>
      <c r="AB13" s="2"/>
      <c r="AD13">
        <f t="shared" si="3"/>
        <v>2007</v>
      </c>
      <c r="AE13" s="2"/>
      <c r="AF13" s="2"/>
      <c r="AG13" s="2"/>
      <c r="AH13" s="2"/>
      <c r="AI13" s="2"/>
      <c r="AK13" s="2">
        <f t="shared" si="4"/>
        <v>377.12220828889662</v>
      </c>
      <c r="AL13" s="2"/>
      <c r="AM13" s="2"/>
      <c r="AN13" s="2"/>
      <c r="AP13" s="2">
        <f t="shared" si="8"/>
        <v>367.80023645292584</v>
      </c>
      <c r="AQ13" s="2"/>
      <c r="AR13" s="2"/>
      <c r="AS13" s="2"/>
      <c r="AU13" s="8">
        <v>2.5345203488372093E-2</v>
      </c>
    </row>
    <row r="14" spans="2:47" x14ac:dyDescent="0.25">
      <c r="B14">
        <f t="shared" si="5"/>
        <v>2008</v>
      </c>
      <c r="C14" s="1">
        <v>363.42587600000002</v>
      </c>
      <c r="D14" s="1">
        <v>375.47597931876743</v>
      </c>
      <c r="F14">
        <v>42875</v>
      </c>
      <c r="G14" s="10"/>
      <c r="J14" s="2">
        <f t="shared" si="6"/>
        <v>5.8955753587105288</v>
      </c>
      <c r="K14" s="2">
        <f t="shared" si="1"/>
        <v>5.9281944993012194</v>
      </c>
      <c r="L14">
        <v>1</v>
      </c>
      <c r="N14">
        <f t="shared" si="7"/>
        <v>10.666044184468241</v>
      </c>
      <c r="R14" s="2"/>
      <c r="S14" s="2"/>
      <c r="T14" s="2"/>
      <c r="U14" s="2"/>
      <c r="V14" s="2"/>
      <c r="X14" s="2">
        <f t="shared" si="2"/>
        <v>5.9425495895507368</v>
      </c>
      <c r="Y14" s="2"/>
      <c r="Z14" s="2"/>
      <c r="AA14" s="2"/>
      <c r="AB14" s="2"/>
      <c r="AD14">
        <f t="shared" si="3"/>
        <v>2008</v>
      </c>
      <c r="AE14" s="2"/>
      <c r="AF14" s="2"/>
      <c r="AG14" s="2"/>
      <c r="AH14" s="2"/>
      <c r="AI14" s="2"/>
      <c r="AK14" s="2">
        <f t="shared" si="4"/>
        <v>380.90484358040294</v>
      </c>
      <c r="AL14" s="2"/>
      <c r="AM14" s="2"/>
      <c r="AN14" s="2"/>
      <c r="AP14" s="2">
        <f t="shared" si="8"/>
        <v>368.68051240457004</v>
      </c>
      <c r="AQ14" s="2"/>
      <c r="AR14" s="2"/>
      <c r="AS14" s="2"/>
      <c r="AU14" s="8">
        <v>3.3156976744186044E-2</v>
      </c>
    </row>
    <row r="15" spans="2:47" x14ac:dyDescent="0.25">
      <c r="B15">
        <f t="shared" si="5"/>
        <v>2009</v>
      </c>
      <c r="C15" s="1">
        <v>379.83771899999999</v>
      </c>
      <c r="D15" s="1">
        <v>395.39919555028126</v>
      </c>
      <c r="F15">
        <v>44196</v>
      </c>
      <c r="G15" s="10"/>
      <c r="J15" s="2">
        <f t="shared" si="6"/>
        <v>5.9397441062432046</v>
      </c>
      <c r="K15" s="2">
        <f t="shared" si="1"/>
        <v>5.9798958762131553</v>
      </c>
      <c r="L15">
        <v>1</v>
      </c>
      <c r="N15">
        <f t="shared" si="7"/>
        <v>10.696389566233066</v>
      </c>
      <c r="R15" s="2"/>
      <c r="S15" s="2"/>
      <c r="T15" s="2"/>
      <c r="U15" s="2"/>
      <c r="V15" s="2"/>
      <c r="X15" s="2">
        <f t="shared" si="2"/>
        <v>5.9563749442985756</v>
      </c>
      <c r="Y15" s="2"/>
      <c r="Z15" s="2"/>
      <c r="AA15" s="2"/>
      <c r="AB15" s="2"/>
      <c r="AD15">
        <f t="shared" si="3"/>
        <v>2009</v>
      </c>
      <c r="AE15" s="2"/>
      <c r="AF15" s="2"/>
      <c r="AG15" s="2"/>
      <c r="AH15" s="2"/>
      <c r="AI15" s="2"/>
      <c r="AK15" s="2">
        <f t="shared" si="4"/>
        <v>386.20755967025457</v>
      </c>
      <c r="AL15" s="2"/>
      <c r="AM15" s="2"/>
      <c r="AN15" s="2"/>
      <c r="AP15" s="2">
        <f t="shared" si="8"/>
        <v>371.0078325312403</v>
      </c>
      <c r="AQ15" s="2"/>
      <c r="AR15" s="2"/>
      <c r="AS15" s="2"/>
      <c r="AU15" s="8">
        <v>4.0968749999999998E-2</v>
      </c>
    </row>
    <row r="16" spans="2:47" x14ac:dyDescent="0.25">
      <c r="B16">
        <f t="shared" si="5"/>
        <v>2010</v>
      </c>
      <c r="C16" s="1">
        <v>386.75098700000001</v>
      </c>
      <c r="D16" s="1">
        <v>405.61690251556257</v>
      </c>
      <c r="F16">
        <v>45335</v>
      </c>
      <c r="G16" s="10"/>
      <c r="J16" s="2">
        <f t="shared" si="6"/>
        <v>5.9577810414861183</v>
      </c>
      <c r="K16" s="2">
        <f t="shared" si="1"/>
        <v>6.0054091242774277</v>
      </c>
      <c r="L16">
        <v>1</v>
      </c>
      <c r="N16">
        <f t="shared" si="7"/>
        <v>10.721834640080157</v>
      </c>
      <c r="R16" s="2"/>
      <c r="S16" s="2"/>
      <c r="T16" s="2"/>
      <c r="U16" s="2"/>
      <c r="V16" s="2"/>
      <c r="X16" s="2">
        <f t="shared" si="2"/>
        <v>5.9679677189503284</v>
      </c>
      <c r="Y16" s="2"/>
      <c r="Z16" s="2"/>
      <c r="AA16" s="2"/>
      <c r="AB16" s="2"/>
      <c r="AD16">
        <f t="shared" si="3"/>
        <v>2010</v>
      </c>
      <c r="AE16" s="2"/>
      <c r="AF16" s="2"/>
      <c r="AG16" s="2"/>
      <c r="AH16" s="2"/>
      <c r="AI16" s="2"/>
      <c r="AK16" s="2">
        <f t="shared" si="4"/>
        <v>390.71082913872522</v>
      </c>
      <c r="AL16" s="2"/>
      <c r="AM16" s="2"/>
      <c r="AN16" s="2"/>
      <c r="AP16" s="2">
        <f t="shared" si="8"/>
        <v>372.53821984204097</v>
      </c>
      <c r="AQ16" s="2"/>
      <c r="AR16" s="2"/>
      <c r="AS16" s="2"/>
      <c r="AU16" s="8">
        <v>4.8780523255813953E-2</v>
      </c>
    </row>
    <row r="17" spans="2:47" x14ac:dyDescent="0.25">
      <c r="B17">
        <f t="shared" si="5"/>
        <v>2011</v>
      </c>
      <c r="C17" s="1">
        <v>385.44911300000001</v>
      </c>
      <c r="D17" s="1">
        <v>407.26256349303998</v>
      </c>
      <c r="F17">
        <v>46953</v>
      </c>
      <c r="G17" s="10"/>
      <c r="J17" s="2">
        <f t="shared" si="6"/>
        <v>5.9544091816962412</v>
      </c>
      <c r="K17" s="2">
        <f t="shared" si="1"/>
        <v>6.0094580965902074</v>
      </c>
      <c r="L17">
        <v>1</v>
      </c>
      <c r="N17">
        <f t="shared" si="7"/>
        <v>10.756902380358612</v>
      </c>
      <c r="R17" s="2"/>
      <c r="S17" s="2"/>
      <c r="T17" s="2"/>
      <c r="U17" s="2"/>
      <c r="V17" s="2"/>
      <c r="X17" s="2">
        <f t="shared" si="2"/>
        <v>5.9839445800526914</v>
      </c>
      <c r="Y17" s="2"/>
      <c r="Z17" s="2"/>
      <c r="AA17" s="2"/>
      <c r="AB17" s="2"/>
      <c r="AD17">
        <f t="shared" si="3"/>
        <v>2011</v>
      </c>
      <c r="AE17" s="2"/>
      <c r="AF17" s="2"/>
      <c r="AG17" s="2"/>
      <c r="AH17" s="2"/>
      <c r="AI17" s="2"/>
      <c r="AK17" s="2">
        <f t="shared" si="4"/>
        <v>397.00329486177651</v>
      </c>
      <c r="AL17" s="2"/>
      <c r="AM17" s="2"/>
      <c r="AN17" s="2"/>
      <c r="AP17" s="2">
        <f t="shared" si="8"/>
        <v>375.73934257565111</v>
      </c>
      <c r="AQ17" s="2"/>
      <c r="AR17" s="2"/>
      <c r="AS17" s="2"/>
      <c r="AU17" s="8">
        <v>5.6592296511627907E-2</v>
      </c>
    </row>
    <row r="18" spans="2:47" x14ac:dyDescent="0.25">
      <c r="B18">
        <f t="shared" si="5"/>
        <v>2012</v>
      </c>
      <c r="C18" s="1">
        <v>365.139568</v>
      </c>
      <c r="D18" s="1">
        <v>390.1069147327035</v>
      </c>
      <c r="F18">
        <v>48652</v>
      </c>
      <c r="G18" s="10"/>
      <c r="J18" s="2">
        <f t="shared" si="6"/>
        <v>5.9002796585768156</v>
      </c>
      <c r="K18" s="2">
        <f t="shared" si="1"/>
        <v>5.9664208418943607</v>
      </c>
      <c r="L18">
        <v>1</v>
      </c>
      <c r="N18">
        <f t="shared" si="7"/>
        <v>10.792448196738327</v>
      </c>
      <c r="R18" s="2"/>
      <c r="S18" s="2"/>
      <c r="T18" s="2"/>
      <c r="U18" s="2"/>
      <c r="V18" s="2"/>
      <c r="X18" s="2">
        <f t="shared" si="2"/>
        <v>6.0001392526081307</v>
      </c>
      <c r="Y18" s="2"/>
      <c r="Z18" s="2"/>
      <c r="AA18" s="2"/>
      <c r="AB18" s="2"/>
      <c r="AD18">
        <f t="shared" si="3"/>
        <v>2012</v>
      </c>
      <c r="AE18" s="2"/>
      <c r="AF18" s="2"/>
      <c r="AG18" s="2"/>
      <c r="AH18" s="2"/>
      <c r="AI18" s="2"/>
      <c r="AK18" s="2">
        <f t="shared" si="4"/>
        <v>403.48497591610771</v>
      </c>
      <c r="AL18" s="2"/>
      <c r="AM18" s="2"/>
      <c r="AN18" s="2"/>
      <c r="AP18" s="2">
        <f t="shared" si="8"/>
        <v>377.66141597732394</v>
      </c>
      <c r="AQ18" s="2"/>
      <c r="AR18" s="2"/>
      <c r="AS18" s="2"/>
      <c r="AU18" s="8">
        <v>6.8377543604651161E-2</v>
      </c>
    </row>
    <row r="19" spans="2:47" x14ac:dyDescent="0.25">
      <c r="B19">
        <f t="shared" si="5"/>
        <v>2013</v>
      </c>
      <c r="C19" s="1">
        <v>369.24822956342547</v>
      </c>
      <c r="D19" s="1">
        <v>398.84819810540523</v>
      </c>
      <c r="E19" s="3"/>
      <c r="F19" s="3">
        <v>50412.47852107427</v>
      </c>
      <c r="G19" s="10"/>
      <c r="J19" s="2">
        <f t="shared" si="6"/>
        <v>5.9114691267173285</v>
      </c>
      <c r="K19" s="2">
        <f t="shared" si="1"/>
        <v>5.9885808886219873</v>
      </c>
      <c r="L19">
        <v>1</v>
      </c>
      <c r="N19">
        <f t="shared" si="7"/>
        <v>10.827994013118042</v>
      </c>
      <c r="R19" s="2"/>
      <c r="S19" s="2"/>
      <c r="T19" s="2"/>
      <c r="U19" s="2"/>
      <c r="V19" s="2"/>
      <c r="X19" s="2">
        <f t="shared" si="2"/>
        <v>6.0163339251635701</v>
      </c>
      <c r="Y19" s="2"/>
      <c r="Z19" s="2"/>
      <c r="AA19" s="2"/>
      <c r="AB19" s="2"/>
      <c r="AD19">
        <f t="shared" si="3"/>
        <v>2013</v>
      </c>
      <c r="AE19" s="2"/>
      <c r="AF19" s="2"/>
      <c r="AG19" s="2"/>
      <c r="AH19" s="2"/>
      <c r="AI19" s="2"/>
      <c r="AK19" s="2">
        <f t="shared" si="4"/>
        <v>410.07248024655235</v>
      </c>
      <c r="AL19" s="2"/>
      <c r="AM19" s="2"/>
      <c r="AN19" s="2"/>
      <c r="AP19" s="2">
        <f t="shared" si="8"/>
        <v>379.63951709694379</v>
      </c>
      <c r="AQ19" s="2"/>
      <c r="AR19" s="2"/>
      <c r="AS19" s="2"/>
      <c r="AU19" s="8">
        <v>8.0162790697674416E-2</v>
      </c>
    </row>
    <row r="20" spans="2:47" x14ac:dyDescent="0.25">
      <c r="B20">
        <f t="shared" si="5"/>
        <v>2014</v>
      </c>
      <c r="E20" s="3"/>
      <c r="F20" s="3">
        <f>+'Data BIS V SKM'!H24</f>
        <v>50883.822487920152</v>
      </c>
      <c r="G20" s="10"/>
      <c r="I20" s="16"/>
      <c r="L20">
        <v>1</v>
      </c>
      <c r="N20">
        <f t="shared" ref="N20:N25" si="9">LN(F20)</f>
        <v>10.837300322706227</v>
      </c>
      <c r="R20" s="2"/>
      <c r="S20" s="2"/>
      <c r="T20" s="2"/>
      <c r="U20" s="2"/>
      <c r="V20" s="2"/>
      <c r="X20" s="2">
        <f t="shared" ref="X20:X25" si="10">SUMPRODUCT($S$46:$W$46,L20:P20)</f>
        <v>6.0205738794487722</v>
      </c>
      <c r="Y20" s="2"/>
      <c r="Z20" s="2"/>
      <c r="AA20" s="2"/>
      <c r="AD20">
        <f t="shared" si="3"/>
        <v>2014</v>
      </c>
      <c r="AE20" s="2"/>
      <c r="AF20" s="2"/>
      <c r="AG20" s="2"/>
      <c r="AH20" s="2"/>
      <c r="AI20" s="2"/>
      <c r="AK20" s="2">
        <f t="shared" ref="AK20:AK25" si="11">EXP(X20)</f>
        <v>411.8148600114323</v>
      </c>
      <c r="AL20" s="2"/>
      <c r="AM20" s="2"/>
      <c r="AN20" s="2"/>
      <c r="AP20" s="2">
        <f t="shared" si="8"/>
        <v>375.62076924741268</v>
      </c>
      <c r="AQ20" s="2"/>
      <c r="AR20" s="2"/>
      <c r="AS20" s="2"/>
      <c r="AU20" s="8">
        <v>9.6358065706902904E-2</v>
      </c>
    </row>
    <row r="21" spans="2:47" x14ac:dyDescent="0.25">
      <c r="B21">
        <f t="shared" si="5"/>
        <v>2015</v>
      </c>
      <c r="E21" s="3"/>
      <c r="F21" s="3">
        <f>+'Data BIS V SKM'!H25</f>
        <v>51202.920984819226</v>
      </c>
      <c r="G21" s="10"/>
      <c r="H21" s="12"/>
      <c r="I21" s="16"/>
      <c r="L21">
        <v>1</v>
      </c>
      <c r="N21">
        <f t="shared" si="9"/>
        <v>10.843551859885032</v>
      </c>
      <c r="R21" s="2"/>
      <c r="S21" s="2"/>
      <c r="T21" s="2"/>
      <c r="U21" s="2"/>
      <c r="V21" s="2"/>
      <c r="X21" s="2">
        <f t="shared" si="10"/>
        <v>6.0234220795434723</v>
      </c>
      <c r="Y21" s="2"/>
      <c r="Z21" s="2"/>
      <c r="AA21" s="2"/>
      <c r="AD21">
        <f t="shared" si="3"/>
        <v>2015</v>
      </c>
      <c r="AE21" s="2"/>
      <c r="AF21" s="2"/>
      <c r="AG21" s="2"/>
      <c r="AH21" s="2"/>
      <c r="AI21" s="2"/>
      <c r="AK21" s="2">
        <f t="shared" si="11"/>
        <v>412.98946309296434</v>
      </c>
      <c r="AL21" s="2"/>
      <c r="AM21" s="2"/>
      <c r="AN21" s="2"/>
      <c r="AP21" s="2">
        <f t="shared" si="8"/>
        <v>370.31579628278291</v>
      </c>
      <c r="AQ21" s="2"/>
      <c r="AR21" s="2"/>
      <c r="AS21" s="2"/>
      <c r="AU21" s="8">
        <v>0.11523588039867108</v>
      </c>
    </row>
    <row r="22" spans="2:47" x14ac:dyDescent="0.25">
      <c r="B22">
        <f t="shared" si="5"/>
        <v>2016</v>
      </c>
      <c r="E22" s="3"/>
      <c r="F22" s="3">
        <f>+'Data BIS V SKM'!H26</f>
        <v>51933.876685394367</v>
      </c>
      <c r="G22" s="10"/>
      <c r="I22" s="16"/>
      <c r="L22">
        <v>1</v>
      </c>
      <c r="N22">
        <f t="shared" si="9"/>
        <v>10.857726586187491</v>
      </c>
      <c r="R22" s="2"/>
      <c r="S22" s="2"/>
      <c r="T22" s="2"/>
      <c r="U22" s="2"/>
      <c r="V22" s="2"/>
      <c r="X22" s="2">
        <f t="shared" si="10"/>
        <v>6.0298800842937101</v>
      </c>
      <c r="Y22" s="2"/>
      <c r="Z22" s="2"/>
      <c r="AA22" s="2"/>
      <c r="AD22">
        <f t="shared" si="3"/>
        <v>2016</v>
      </c>
      <c r="AE22" s="2"/>
      <c r="AF22" s="2"/>
      <c r="AG22" s="2"/>
      <c r="AH22" s="2"/>
      <c r="AI22" s="2"/>
      <c r="AK22" s="2">
        <f t="shared" si="11"/>
        <v>415.66518160944747</v>
      </c>
      <c r="AL22" s="2"/>
      <c r="AM22" s="2"/>
      <c r="AN22" s="2"/>
      <c r="AP22" s="2">
        <f t="shared" si="8"/>
        <v>366.9115846997006</v>
      </c>
      <c r="AQ22" s="2"/>
      <c r="AR22" s="2"/>
      <c r="AS22" s="2"/>
      <c r="AU22" s="8">
        <v>0.13287559985234401</v>
      </c>
    </row>
    <row r="23" spans="2:47" x14ac:dyDescent="0.25">
      <c r="B23">
        <f t="shared" si="5"/>
        <v>2017</v>
      </c>
      <c r="E23" s="3"/>
      <c r="F23" s="3">
        <f>+'Data BIS V SKM'!H27</f>
        <v>53884.493285549739</v>
      </c>
      <c r="G23" s="10"/>
      <c r="I23" s="16"/>
      <c r="L23">
        <v>1</v>
      </c>
      <c r="N23">
        <f t="shared" si="9"/>
        <v>10.894598021359544</v>
      </c>
      <c r="R23" s="2"/>
      <c r="S23" s="2"/>
      <c r="T23" s="2"/>
      <c r="U23" s="2"/>
      <c r="V23" s="2"/>
      <c r="X23" s="2">
        <f t="shared" si="10"/>
        <v>6.0466787087192078</v>
      </c>
      <c r="Y23" s="2"/>
      <c r="Z23" s="2"/>
      <c r="AA23" s="2"/>
      <c r="AD23">
        <f t="shared" si="3"/>
        <v>2017</v>
      </c>
      <c r="AE23" s="2"/>
      <c r="AF23" s="2"/>
      <c r="AG23" s="2"/>
      <c r="AH23" s="2"/>
      <c r="AI23" s="2"/>
      <c r="AK23" s="2">
        <f t="shared" si="11"/>
        <v>422.70676373872379</v>
      </c>
      <c r="AL23" s="2"/>
      <c r="AM23" s="2"/>
      <c r="AN23" s="2"/>
      <c r="AP23" s="2">
        <f t="shared" si="8"/>
        <v>369.19430476852273</v>
      </c>
      <c r="AQ23" s="2"/>
      <c r="AR23" s="2"/>
      <c r="AS23" s="2"/>
      <c r="AU23" s="8">
        <v>0.14494389073458841</v>
      </c>
    </row>
    <row r="24" spans="2:47" x14ac:dyDescent="0.25">
      <c r="B24">
        <f t="shared" si="5"/>
        <v>2018</v>
      </c>
      <c r="E24" s="3"/>
      <c r="F24" s="3">
        <f>+'Data BIS V SKM'!H28</f>
        <v>55930.513395273621</v>
      </c>
      <c r="G24" s="10"/>
      <c r="I24" s="16"/>
      <c r="L24">
        <v>1</v>
      </c>
      <c r="N24">
        <f t="shared" si="9"/>
        <v>10.931865367020306</v>
      </c>
      <c r="R24" s="2"/>
      <c r="S24" s="2"/>
      <c r="T24" s="2"/>
      <c r="U24" s="2"/>
      <c r="V24" s="2"/>
      <c r="X24" s="2">
        <f t="shared" si="10"/>
        <v>6.0636577099479094</v>
      </c>
      <c r="Y24" s="2"/>
      <c r="Z24" s="2"/>
      <c r="AA24" s="2"/>
      <c r="AD24">
        <f t="shared" si="3"/>
        <v>2018</v>
      </c>
      <c r="AE24" s="2"/>
      <c r="AF24" s="2"/>
      <c r="AG24" s="2"/>
      <c r="AH24" s="2"/>
      <c r="AI24" s="2"/>
      <c r="AK24" s="2">
        <f t="shared" si="11"/>
        <v>429.94517903680571</v>
      </c>
      <c r="AL24" s="2"/>
      <c r="AM24" s="2"/>
      <c r="AN24" s="2"/>
      <c r="AP24" s="2">
        <f t="shared" si="8"/>
        <v>372.52967836786803</v>
      </c>
      <c r="AQ24" s="2"/>
      <c r="AR24" s="2"/>
      <c r="AS24" s="2"/>
      <c r="AU24" s="8">
        <v>0.15412329272794387</v>
      </c>
    </row>
    <row r="25" spans="2:47" x14ac:dyDescent="0.25">
      <c r="B25">
        <f t="shared" si="5"/>
        <v>2019</v>
      </c>
      <c r="E25" s="3"/>
      <c r="F25" s="3">
        <f>+'Data BIS V SKM'!H29</f>
        <v>57507.177619645852</v>
      </c>
      <c r="G25" s="10"/>
      <c r="I25" s="16"/>
      <c r="L25">
        <v>1</v>
      </c>
      <c r="N25">
        <f t="shared" si="9"/>
        <v>10.959665047162808</v>
      </c>
      <c r="R25" s="2"/>
      <c r="S25" s="2"/>
      <c r="T25" s="2"/>
      <c r="U25" s="2"/>
      <c r="V25" s="2"/>
      <c r="X25" s="2">
        <f t="shared" si="10"/>
        <v>6.0763232431359633</v>
      </c>
      <c r="Y25" s="2"/>
      <c r="Z25" s="2"/>
      <c r="AA25" s="2"/>
      <c r="AD25">
        <f t="shared" si="3"/>
        <v>2019</v>
      </c>
      <c r="AE25" s="2"/>
      <c r="AF25" s="2"/>
      <c r="AG25" s="2"/>
      <c r="AH25" s="2"/>
      <c r="AI25" s="2"/>
      <c r="AK25" s="2">
        <f t="shared" si="11"/>
        <v>435.425295008425</v>
      </c>
      <c r="AL25" s="2"/>
      <c r="AM25" s="2"/>
      <c r="AN25" s="2"/>
      <c r="AP25" s="2">
        <f t="shared" si="8"/>
        <v>374.30094246686406</v>
      </c>
      <c r="AQ25" s="2"/>
      <c r="AR25" s="2"/>
      <c r="AS25" s="2"/>
      <c r="AU25" s="8">
        <v>0.16330269472129935</v>
      </c>
    </row>
    <row r="28" spans="2:47" x14ac:dyDescent="0.25">
      <c r="C28" s="15"/>
      <c r="E28" s="15"/>
      <c r="F28" s="15"/>
      <c r="G28" s="15"/>
      <c r="H28" s="15"/>
      <c r="I28" s="15"/>
    </row>
    <row r="29" spans="2:47" x14ac:dyDescent="0.25">
      <c r="D29" s="12"/>
      <c r="E29" s="12"/>
      <c r="F29" s="12"/>
    </row>
    <row r="30" spans="2:47" x14ac:dyDescent="0.25">
      <c r="D30" s="12"/>
      <c r="E30" s="12"/>
      <c r="F30" s="12"/>
      <c r="G30" s="12"/>
      <c r="H30" s="12"/>
      <c r="I30" s="12"/>
    </row>
    <row r="31" spans="2:47" x14ac:dyDescent="0.25">
      <c r="C31" s="12"/>
      <c r="D31" s="12"/>
      <c r="E31" s="12"/>
      <c r="F31" s="12"/>
      <c r="G31" s="12"/>
      <c r="H31" s="12"/>
      <c r="I31" s="12"/>
    </row>
    <row r="32" spans="2:47" x14ac:dyDescent="0.25">
      <c r="D32" s="12"/>
      <c r="E32" s="12"/>
      <c r="F32" s="12"/>
      <c r="G32" s="12"/>
      <c r="H32" s="17"/>
      <c r="I32" s="12"/>
    </row>
    <row r="36" spans="16:23" x14ac:dyDescent="0.25">
      <c r="P36" s="28"/>
      <c r="Q36" s="28"/>
      <c r="R36" s="28"/>
    </row>
    <row r="37" spans="16:23" x14ac:dyDescent="0.25">
      <c r="P37" s="28"/>
      <c r="Q37" s="29"/>
      <c r="R37" s="28"/>
      <c r="S37" s="2"/>
      <c r="T37" s="2"/>
      <c r="U37" s="2"/>
      <c r="V37" s="2"/>
      <c r="W37" s="2"/>
    </row>
    <row r="38" spans="16:23" x14ac:dyDescent="0.25">
      <c r="P38" s="28"/>
      <c r="Q38" s="29"/>
      <c r="R38" s="28"/>
      <c r="S38" s="2"/>
      <c r="T38" s="2"/>
      <c r="U38" s="2"/>
      <c r="V38" s="2"/>
      <c r="W38" s="2"/>
    </row>
    <row r="39" spans="16:23" x14ac:dyDescent="0.25">
      <c r="P39" s="28"/>
      <c r="Q39" s="29"/>
      <c r="R39" s="28"/>
      <c r="S39" s="2"/>
      <c r="T39" s="2"/>
      <c r="U39" s="2"/>
      <c r="V39" s="2"/>
      <c r="W39" s="2"/>
    </row>
    <row r="40" spans="16:23" x14ac:dyDescent="0.25">
      <c r="P40" s="28"/>
      <c r="Q40" s="29"/>
      <c r="R40" s="28"/>
      <c r="S40" s="2"/>
      <c r="T40" s="2"/>
      <c r="U40" s="2"/>
      <c r="V40" s="2"/>
      <c r="W40" s="2"/>
    </row>
    <row r="41" spans="16:23" x14ac:dyDescent="0.25">
      <c r="P41" s="28"/>
      <c r="Q41" s="29"/>
      <c r="R41" s="28"/>
      <c r="S41" s="2"/>
      <c r="T41" s="2"/>
      <c r="U41" s="2"/>
      <c r="V41" s="2"/>
      <c r="W41" s="2"/>
    </row>
    <row r="42" spans="16:23" x14ac:dyDescent="0.25">
      <c r="P42" s="28"/>
      <c r="Q42" s="28"/>
      <c r="R42" s="28"/>
    </row>
    <row r="43" spans="16:23" x14ac:dyDescent="0.25">
      <c r="R43" t="s">
        <v>3</v>
      </c>
    </row>
    <row r="44" spans="16:23" x14ac:dyDescent="0.25">
      <c r="R44" t="s">
        <v>6</v>
      </c>
    </row>
    <row r="45" spans="16:23" ht="15.75" thickBot="1" x14ac:dyDescent="0.3">
      <c r="P45" s="28"/>
      <c r="Q45" s="28"/>
    </row>
    <row r="46" spans="16:23" ht="15.75" thickBot="1" x14ac:dyDescent="0.3">
      <c r="P46" s="28"/>
      <c r="Q46" s="31" t="s">
        <v>23</v>
      </c>
      <c r="R46" t="str">
        <f>Q46</f>
        <v>HV6</v>
      </c>
      <c r="S46" s="2">
        <v>1.0831002753444099</v>
      </c>
      <c r="T46" s="2">
        <v>0</v>
      </c>
      <c r="U46" s="2">
        <v>0.45559996097546601</v>
      </c>
      <c r="V46" s="2">
        <v>0</v>
      </c>
      <c r="W46" s="2">
        <v>0</v>
      </c>
    </row>
    <row r="47" spans="16:23" x14ac:dyDescent="0.25">
      <c r="P47" s="28"/>
      <c r="Q47" s="29"/>
      <c r="S47" s="2"/>
      <c r="T47" s="2"/>
      <c r="U47" s="2"/>
      <c r="V47" s="2"/>
      <c r="W47" s="2"/>
    </row>
    <row r="48" spans="16:23" x14ac:dyDescent="0.25">
      <c r="P48" s="28"/>
      <c r="Q48" s="29"/>
      <c r="S48" s="2"/>
      <c r="T48" s="2"/>
      <c r="U48" s="2"/>
      <c r="V48" s="2"/>
      <c r="W48" s="2"/>
    </row>
    <row r="49" spans="16:26" x14ac:dyDescent="0.25">
      <c r="P49" s="28"/>
      <c r="Q49" s="29"/>
      <c r="S49" s="2"/>
      <c r="T49" s="2"/>
      <c r="U49" s="2"/>
      <c r="V49" s="2"/>
      <c r="W49" s="2"/>
    </row>
    <row r="54" spans="16:26" x14ac:dyDescent="0.25">
      <c r="R54" s="22"/>
      <c r="T54" s="12"/>
      <c r="U54" s="12"/>
      <c r="V54" s="12"/>
      <c r="W54" s="12"/>
      <c r="X54" s="21"/>
    </row>
    <row r="55" spans="16:26" x14ac:dyDescent="0.25">
      <c r="T55" s="11"/>
      <c r="U55" s="11"/>
      <c r="V55" s="11"/>
      <c r="W55" s="11"/>
      <c r="X55" s="11"/>
      <c r="Y55" s="11"/>
      <c r="Z55" s="11"/>
    </row>
    <row r="56" spans="16:26" x14ac:dyDescent="0.25">
      <c r="T56" s="11"/>
      <c r="U56" s="11"/>
      <c r="V56" s="11"/>
      <c r="W56" s="11"/>
      <c r="X56" s="11"/>
      <c r="Y56" s="11"/>
      <c r="Z56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D5:F27"/>
  <sheetViews>
    <sheetView workbookViewId="0">
      <selection activeCell="E24" sqref="E24"/>
    </sheetView>
  </sheetViews>
  <sheetFormatPr defaultRowHeight="15" x14ac:dyDescent="0.25"/>
  <sheetData>
    <row r="5" spans="4:6" x14ac:dyDescent="0.25">
      <c r="E5" t="s">
        <v>32</v>
      </c>
      <c r="F5" t="s">
        <v>28</v>
      </c>
    </row>
    <row r="7" spans="4:6" x14ac:dyDescent="0.25">
      <c r="D7">
        <v>2000</v>
      </c>
      <c r="E7" s="20">
        <f>F7</f>
        <v>139.61247494009672</v>
      </c>
      <c r="F7" s="20">
        <v>139.61247494009672</v>
      </c>
    </row>
    <row r="8" spans="4:6" x14ac:dyDescent="0.25">
      <c r="D8">
        <f>D7+1</f>
        <v>2001</v>
      </c>
      <c r="E8" s="20">
        <f t="shared" ref="E8:E14" si="0">F8</f>
        <v>143.86604009882763</v>
      </c>
      <c r="F8" s="20">
        <v>143.86604009882763</v>
      </c>
    </row>
    <row r="9" spans="4:6" x14ac:dyDescent="0.25">
      <c r="D9">
        <f t="shared" ref="D9:D15" si="1">D8+1</f>
        <v>2002</v>
      </c>
      <c r="E9" s="20">
        <f t="shared" si="0"/>
        <v>143.62648675545364</v>
      </c>
      <c r="F9" s="20">
        <v>143.62648675545364</v>
      </c>
    </row>
    <row r="10" spans="4:6" x14ac:dyDescent="0.25">
      <c r="D10">
        <f t="shared" si="1"/>
        <v>2003</v>
      </c>
      <c r="E10" s="20">
        <f t="shared" si="0"/>
        <v>138.74161207494112</v>
      </c>
      <c r="F10" s="20">
        <v>138.74161207494112</v>
      </c>
    </row>
    <row r="11" spans="4:6" x14ac:dyDescent="0.25">
      <c r="D11">
        <f t="shared" si="1"/>
        <v>2004</v>
      </c>
      <c r="E11" s="20">
        <f t="shared" si="0"/>
        <v>136.45281599592983</v>
      </c>
      <c r="F11" s="20">
        <v>136.45281599592983</v>
      </c>
    </row>
    <row r="12" spans="4:6" x14ac:dyDescent="0.25">
      <c r="D12">
        <f t="shared" si="1"/>
        <v>2005</v>
      </c>
      <c r="E12" s="20">
        <f t="shared" si="0"/>
        <v>132.32890416566389</v>
      </c>
      <c r="F12" s="20">
        <v>132.32890416566389</v>
      </c>
    </row>
    <row r="13" spans="4:6" x14ac:dyDescent="0.25">
      <c r="D13">
        <f t="shared" si="1"/>
        <v>2006</v>
      </c>
      <c r="E13" s="20">
        <f t="shared" si="0"/>
        <v>132.07815015184732</v>
      </c>
      <c r="F13" s="20">
        <v>132.07815015184732</v>
      </c>
    </row>
    <row r="14" spans="4:6" x14ac:dyDescent="0.25">
      <c r="D14">
        <f t="shared" si="1"/>
        <v>2007</v>
      </c>
      <c r="E14" s="20">
        <f t="shared" si="0"/>
        <v>115.62527443214292</v>
      </c>
      <c r="F14" s="20">
        <v>115.62527443214292</v>
      </c>
    </row>
    <row r="15" spans="4:6" x14ac:dyDescent="0.25">
      <c r="D15">
        <f t="shared" si="1"/>
        <v>2008</v>
      </c>
      <c r="E15" s="20">
        <v>122.23967630937322</v>
      </c>
      <c r="F15" s="20">
        <v>121.81793942282226</v>
      </c>
    </row>
    <row r="16" spans="4:6" x14ac:dyDescent="0.25">
      <c r="D16">
        <f>D15+1</f>
        <v>2009</v>
      </c>
      <c r="E16" s="20">
        <v>117.27630905319751</v>
      </c>
      <c r="F16" s="20">
        <v>118.14278104279742</v>
      </c>
    </row>
    <row r="17" spans="4:6" x14ac:dyDescent="0.25">
      <c r="D17">
        <f t="shared" ref="D17:D27" si="2">D16+1</f>
        <v>2010</v>
      </c>
      <c r="E17" s="20">
        <v>112.31294179702364</v>
      </c>
      <c r="F17" s="20">
        <v>112.63807420382403</v>
      </c>
    </row>
    <row r="18" spans="4:6" x14ac:dyDescent="0.25">
      <c r="D18">
        <f t="shared" si="2"/>
        <v>2011</v>
      </c>
      <c r="E18" s="20">
        <v>107.34957454084791</v>
      </c>
      <c r="F18" s="20">
        <v>105.65115823736916</v>
      </c>
    </row>
    <row r="19" spans="4:6" x14ac:dyDescent="0.25">
      <c r="D19">
        <f t="shared" si="2"/>
        <v>2012</v>
      </c>
      <c r="E19" s="20">
        <v>102.38620728467218</v>
      </c>
      <c r="F19" s="20">
        <v>103.45043914559308</v>
      </c>
    </row>
    <row r="20" spans="4:6" x14ac:dyDescent="0.25">
      <c r="D20">
        <f t="shared" si="2"/>
        <v>2013</v>
      </c>
      <c r="E20" s="20">
        <v>97.422840028498328</v>
      </c>
      <c r="F20" s="20">
        <v>97.287156961210314</v>
      </c>
    </row>
    <row r="21" spans="4:6" x14ac:dyDescent="0.25">
      <c r="D21">
        <f t="shared" si="2"/>
        <v>2014</v>
      </c>
      <c r="E21" s="20">
        <v>92.459472772322599</v>
      </c>
      <c r="F21" s="20"/>
    </row>
    <row r="22" spans="4:6" x14ac:dyDescent="0.25">
      <c r="D22">
        <f t="shared" si="2"/>
        <v>2015</v>
      </c>
      <c r="E22" s="20">
        <v>87.496105516146869</v>
      </c>
      <c r="F22" s="20"/>
    </row>
    <row r="23" spans="4:6" x14ac:dyDescent="0.25">
      <c r="D23">
        <f t="shared" si="2"/>
        <v>2016</v>
      </c>
      <c r="E23" s="20">
        <v>82.532738259973002</v>
      </c>
      <c r="F23" s="20"/>
    </row>
    <row r="24" spans="4:6" x14ac:dyDescent="0.25">
      <c r="D24">
        <f t="shared" si="2"/>
        <v>2017</v>
      </c>
      <c r="E24" s="20">
        <v>77.569371003797272</v>
      </c>
      <c r="F24" s="20"/>
    </row>
    <row r="25" spans="4:6" x14ac:dyDescent="0.25">
      <c r="D25">
        <f t="shared" si="2"/>
        <v>2018</v>
      </c>
      <c r="E25" s="20">
        <v>72.606003747623419</v>
      </c>
      <c r="F25" s="20"/>
    </row>
    <row r="26" spans="4:6" x14ac:dyDescent="0.25">
      <c r="D26">
        <f t="shared" si="2"/>
        <v>2019</v>
      </c>
      <c r="E26" s="20">
        <v>67.642636491447689</v>
      </c>
      <c r="F26" s="20"/>
    </row>
    <row r="27" spans="4:6" x14ac:dyDescent="0.25">
      <c r="D27">
        <f t="shared" si="2"/>
        <v>2020</v>
      </c>
      <c r="E27" s="20">
        <v>62.67926923527196</v>
      </c>
      <c r="F27" s="2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6" sqref="B16"/>
    </sheetView>
  </sheetViews>
  <sheetFormatPr defaultRowHeight="15" x14ac:dyDescent="0.25"/>
  <cols>
    <col min="2" max="4" width="13.28515625" customWidth="1"/>
  </cols>
  <sheetData>
    <row r="1" spans="1:5" x14ac:dyDescent="0.25">
      <c r="A1" s="45" t="s">
        <v>56</v>
      </c>
    </row>
    <row r="2" spans="1:5" x14ac:dyDescent="0.25">
      <c r="B2" t="s">
        <v>55</v>
      </c>
    </row>
    <row r="3" spans="1:5" ht="45" customHeight="1" x14ac:dyDescent="0.25">
      <c r="A3" s="44" t="s">
        <v>54</v>
      </c>
      <c r="B3" s="44" t="s">
        <v>53</v>
      </c>
      <c r="C3" s="44" t="s">
        <v>10</v>
      </c>
      <c r="D3" s="44" t="s">
        <v>52</v>
      </c>
      <c r="E3" s="44" t="s">
        <v>51</v>
      </c>
    </row>
    <row r="4" spans="1:5" x14ac:dyDescent="0.25">
      <c r="A4" s="43" t="s">
        <v>50</v>
      </c>
      <c r="B4" s="38">
        <v>1.9327760730786903E-2</v>
      </c>
      <c r="C4" s="38">
        <v>5.6785212925678508E-3</v>
      </c>
      <c r="D4" s="38">
        <v>1.2933565407037939E-2</v>
      </c>
      <c r="E4" s="42">
        <v>2.5</v>
      </c>
    </row>
    <row r="5" spans="1:5" ht="30" x14ac:dyDescent="0.25">
      <c r="A5" s="41" t="s">
        <v>49</v>
      </c>
      <c r="B5" s="38">
        <v>6.2711188212094537E-3</v>
      </c>
      <c r="C5" s="38">
        <v>-5.0585466446323446E-3</v>
      </c>
      <c r="D5" s="38">
        <v>1.2180983484377128E-2</v>
      </c>
      <c r="E5" s="40">
        <v>2.5</v>
      </c>
    </row>
    <row r="6" spans="1:5" x14ac:dyDescent="0.25">
      <c r="A6" s="39">
        <v>2016</v>
      </c>
      <c r="B6" s="38">
        <v>1.4275664093301499E-2</v>
      </c>
      <c r="C6" s="38">
        <v>6.3212391171298954E-3</v>
      </c>
      <c r="D6" s="38">
        <v>1.0837856563946868E-2</v>
      </c>
      <c r="E6" s="37">
        <v>2.75</v>
      </c>
    </row>
    <row r="7" spans="1:5" x14ac:dyDescent="0.25">
      <c r="A7" s="39">
        <v>2017</v>
      </c>
      <c r="B7" s="38">
        <v>3.7559618589073196E-2</v>
      </c>
      <c r="C7" s="38">
        <v>2.7164849407205205E-2</v>
      </c>
      <c r="D7" s="38">
        <v>1.1617025151251514E-2</v>
      </c>
      <c r="E7" s="37">
        <v>3.25</v>
      </c>
    </row>
    <row r="8" spans="1:5" x14ac:dyDescent="0.25">
      <c r="A8" s="39">
        <v>2018</v>
      </c>
      <c r="B8" s="38">
        <v>3.7970480651667637E-2</v>
      </c>
      <c r="C8" s="38">
        <v>2.6494362957494966E-2</v>
      </c>
      <c r="D8" s="38">
        <v>1.2738742027347705E-2</v>
      </c>
      <c r="E8" s="37">
        <v>2.75</v>
      </c>
    </row>
    <row r="9" spans="1:5" x14ac:dyDescent="0.25">
      <c r="A9" s="36">
        <v>2019</v>
      </c>
      <c r="B9" s="35">
        <v>2.8189696976846701E-2</v>
      </c>
      <c r="C9" s="35">
        <v>1.9234393692041829E-2</v>
      </c>
      <c r="D9" s="35">
        <v>1.2842668668036072E-2</v>
      </c>
      <c r="E9" s="34">
        <v>3</v>
      </c>
    </row>
    <row r="11" spans="1:5" x14ac:dyDescent="0.25">
      <c r="A11" s="33" t="s">
        <v>48</v>
      </c>
    </row>
    <row r="12" spans="1:5" x14ac:dyDescent="0.25">
      <c r="A12" s="33" t="s">
        <v>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zoomScaleNormal="100" workbookViewId="0">
      <selection activeCell="B16" sqref="B16"/>
    </sheetView>
  </sheetViews>
  <sheetFormatPr defaultRowHeight="15" x14ac:dyDescent="0.25"/>
  <cols>
    <col min="1" max="1" width="9.28515625" style="33" customWidth="1"/>
    <col min="2" max="2" width="11" customWidth="1"/>
    <col min="3" max="5" width="9.7109375" customWidth="1"/>
    <col min="6" max="6" width="11" customWidth="1"/>
    <col min="7" max="13" width="9.7109375" customWidth="1"/>
    <col min="14" max="14" width="9.85546875" bestFit="1" customWidth="1"/>
  </cols>
  <sheetData>
    <row r="1" spans="1:14" x14ac:dyDescent="0.25">
      <c r="A1" s="45" t="s">
        <v>62</v>
      </c>
    </row>
    <row r="2" spans="1:14" s="70" customFormat="1" ht="45" customHeight="1" x14ac:dyDescent="0.25">
      <c r="A2" s="72" t="s">
        <v>54</v>
      </c>
      <c r="B2" s="90"/>
      <c r="C2" s="90"/>
      <c r="D2" s="88"/>
      <c r="E2" s="89"/>
      <c r="F2" s="90" t="s">
        <v>53</v>
      </c>
      <c r="G2" s="90"/>
      <c r="H2" s="88"/>
      <c r="I2" s="89"/>
      <c r="J2" s="90" t="s">
        <v>10</v>
      </c>
      <c r="K2" s="90"/>
      <c r="L2" s="88" t="s">
        <v>52</v>
      </c>
      <c r="M2" s="89"/>
      <c r="N2" s="71" t="s">
        <v>51</v>
      </c>
    </row>
    <row r="3" spans="1:14" ht="30" customHeight="1" x14ac:dyDescent="0.25">
      <c r="A3" s="69"/>
      <c r="B3" s="64"/>
      <c r="C3" s="67"/>
      <c r="D3" s="68"/>
      <c r="E3" s="65"/>
      <c r="F3" s="64" t="s">
        <v>61</v>
      </c>
      <c r="G3" s="67" t="s">
        <v>60</v>
      </c>
      <c r="H3" s="66"/>
      <c r="I3" s="65"/>
      <c r="J3" s="64" t="s">
        <v>18</v>
      </c>
      <c r="K3" s="67" t="s">
        <v>60</v>
      </c>
      <c r="L3" s="66" t="s">
        <v>18</v>
      </c>
      <c r="M3" s="65" t="s">
        <v>60</v>
      </c>
      <c r="N3" s="64"/>
    </row>
    <row r="4" spans="1:14" x14ac:dyDescent="0.25">
      <c r="A4" s="39">
        <v>1994</v>
      </c>
      <c r="B4" s="50"/>
      <c r="C4" s="63"/>
      <c r="D4" s="61"/>
      <c r="E4" s="62"/>
      <c r="F4" s="50">
        <v>21854</v>
      </c>
      <c r="G4" s="63"/>
      <c r="H4" s="53"/>
      <c r="I4" s="62"/>
      <c r="J4" s="50">
        <v>152605.39986666664</v>
      </c>
      <c r="K4" s="63"/>
      <c r="L4" s="61">
        <v>302194</v>
      </c>
      <c r="M4" s="62"/>
      <c r="N4" s="46">
        <v>4.75</v>
      </c>
    </row>
    <row r="5" spans="1:14" x14ac:dyDescent="0.25">
      <c r="A5" s="39">
        <v>1995</v>
      </c>
      <c r="B5" s="50"/>
      <c r="C5" s="49"/>
      <c r="D5" s="61"/>
      <c r="E5" s="47"/>
      <c r="F5" s="50">
        <v>22279</v>
      </c>
      <c r="G5" s="49">
        <v>1.9447240779719932</v>
      </c>
      <c r="H5" s="53"/>
      <c r="I5" s="47"/>
      <c r="J5" s="50">
        <v>153805.01831666665</v>
      </c>
      <c r="K5" s="49">
        <v>0.78609174449142394</v>
      </c>
      <c r="L5" s="61">
        <v>305838</v>
      </c>
      <c r="M5" s="47">
        <v>1.2058478990317534</v>
      </c>
      <c r="N5" s="46">
        <v>7.5</v>
      </c>
    </row>
    <row r="6" spans="1:14" x14ac:dyDescent="0.25">
      <c r="A6" s="39">
        <v>1996</v>
      </c>
      <c r="B6" s="50"/>
      <c r="C6" s="49"/>
      <c r="D6" s="61"/>
      <c r="E6" s="47"/>
      <c r="F6" s="50">
        <v>22541</v>
      </c>
      <c r="G6" s="49">
        <v>1.1759953319269156</v>
      </c>
      <c r="H6" s="53"/>
      <c r="I6" s="47"/>
      <c r="J6" s="50">
        <v>156310.93774166665</v>
      </c>
      <c r="K6" s="49">
        <v>1.6292832655437905</v>
      </c>
      <c r="L6" s="61">
        <v>309629</v>
      </c>
      <c r="M6" s="47">
        <v>1.2395451186575812</v>
      </c>
      <c r="N6" s="46">
        <v>7.51</v>
      </c>
    </row>
    <row r="7" spans="1:14" x14ac:dyDescent="0.25">
      <c r="A7" s="39">
        <v>1997</v>
      </c>
      <c r="B7" s="50"/>
      <c r="C7" s="49"/>
      <c r="D7" s="61"/>
      <c r="E7" s="47"/>
      <c r="F7" s="50">
        <v>23896</v>
      </c>
      <c r="G7" s="49">
        <v>6.0112683554411905</v>
      </c>
      <c r="H7" s="53"/>
      <c r="I7" s="47"/>
      <c r="J7" s="50">
        <v>152807.60326666667</v>
      </c>
      <c r="K7" s="49">
        <v>-2.241259969145537</v>
      </c>
      <c r="L7" s="61">
        <v>310533</v>
      </c>
      <c r="M7" s="47">
        <v>0.29196231619130764</v>
      </c>
      <c r="N7" s="46">
        <v>5.57</v>
      </c>
    </row>
    <row r="8" spans="1:14" x14ac:dyDescent="0.25">
      <c r="A8" s="39">
        <v>1998</v>
      </c>
      <c r="B8" s="50"/>
      <c r="C8" s="49"/>
      <c r="D8" s="61"/>
      <c r="E8" s="47"/>
      <c r="F8" s="50">
        <v>24620</v>
      </c>
      <c r="G8" s="49">
        <v>3.029795781720801</v>
      </c>
      <c r="H8" s="53"/>
      <c r="I8" s="47"/>
      <c r="J8" s="50">
        <v>154210.6881</v>
      </c>
      <c r="K8" s="49">
        <v>0.91820354703475715</v>
      </c>
      <c r="L8" s="61">
        <v>311532</v>
      </c>
      <c r="M8" s="47">
        <v>0.32170493957164314</v>
      </c>
      <c r="N8" s="46">
        <v>5.07</v>
      </c>
    </row>
    <row r="9" spans="1:14" ht="30" customHeight="1" x14ac:dyDescent="0.25">
      <c r="A9" s="39">
        <v>1999</v>
      </c>
      <c r="B9" s="50"/>
      <c r="C9" s="49"/>
      <c r="D9" s="61"/>
      <c r="E9" s="47"/>
      <c r="F9" s="50">
        <v>25779</v>
      </c>
      <c r="G9" s="49">
        <v>4.7075548334687189</v>
      </c>
      <c r="H9" s="53"/>
      <c r="I9" s="47"/>
      <c r="J9" s="50">
        <v>157940.55125000002</v>
      </c>
      <c r="K9" s="49">
        <v>2.4186800512694395</v>
      </c>
      <c r="L9" s="61">
        <v>314171</v>
      </c>
      <c r="M9" s="47">
        <v>0.84710398931731046</v>
      </c>
      <c r="N9" s="46">
        <v>4.8</v>
      </c>
    </row>
    <row r="10" spans="1:14" x14ac:dyDescent="0.25">
      <c r="A10" s="39">
        <v>2000</v>
      </c>
      <c r="B10" s="50"/>
      <c r="C10" s="49"/>
      <c r="D10" s="61"/>
      <c r="E10" s="47"/>
      <c r="F10" s="50">
        <v>28591</v>
      </c>
      <c r="G10" s="49">
        <v>10.908103495092902</v>
      </c>
      <c r="H10" s="53"/>
      <c r="I10" s="47"/>
      <c r="J10" s="50">
        <v>167273.57906666666</v>
      </c>
      <c r="K10" s="49">
        <v>5.9092030151861596</v>
      </c>
      <c r="L10" s="61">
        <v>317235</v>
      </c>
      <c r="M10" s="47">
        <v>0.97526506265697144</v>
      </c>
      <c r="N10" s="46">
        <v>6</v>
      </c>
    </row>
    <row r="11" spans="1:14" x14ac:dyDescent="0.25">
      <c r="A11" s="39">
        <v>2001</v>
      </c>
      <c r="B11" s="50"/>
      <c r="C11" s="49"/>
      <c r="D11" s="61"/>
      <c r="E11" s="47"/>
      <c r="F11" s="50">
        <v>29109</v>
      </c>
      <c r="G11" s="49">
        <v>1.8117589451225991</v>
      </c>
      <c r="H11" s="53"/>
      <c r="I11" s="47"/>
      <c r="J11" s="50">
        <v>171636.84539999999</v>
      </c>
      <c r="K11" s="49">
        <v>2.608461155478925</v>
      </c>
      <c r="L11" s="61">
        <v>321538</v>
      </c>
      <c r="M11" s="47">
        <v>1.3564077103724426</v>
      </c>
      <c r="N11" s="46">
        <v>5</v>
      </c>
    </row>
    <row r="12" spans="1:14" x14ac:dyDescent="0.25">
      <c r="A12" s="39">
        <v>2002</v>
      </c>
      <c r="B12" s="50"/>
      <c r="C12" s="49"/>
      <c r="D12" s="61"/>
      <c r="E12" s="47"/>
      <c r="F12" s="50">
        <v>30834</v>
      </c>
      <c r="G12" s="49">
        <v>5.9260022673399915</v>
      </c>
      <c r="H12" s="53"/>
      <c r="I12" s="47"/>
      <c r="J12" s="50">
        <v>172340.23880833332</v>
      </c>
      <c r="K12" s="49">
        <v>0.40981492446687806</v>
      </c>
      <c r="L12" s="61">
        <v>324627</v>
      </c>
      <c r="M12" s="47">
        <v>0.96069515889256607</v>
      </c>
      <c r="N12" s="46">
        <v>4.72</v>
      </c>
    </row>
    <row r="13" spans="1:14" x14ac:dyDescent="0.25">
      <c r="A13" s="39">
        <v>2003</v>
      </c>
      <c r="B13" s="50"/>
      <c r="C13" s="49"/>
      <c r="D13" s="61"/>
      <c r="E13" s="47"/>
      <c r="F13" s="50">
        <v>33347</v>
      </c>
      <c r="G13" s="49">
        <v>8.1500940520204956</v>
      </c>
      <c r="H13" s="53"/>
      <c r="I13" s="47"/>
      <c r="J13" s="50">
        <v>177181.01499166669</v>
      </c>
      <c r="K13" s="49">
        <v>2.8088484829807969</v>
      </c>
      <c r="L13" s="61">
        <v>327357</v>
      </c>
      <c r="M13" s="47">
        <v>0.84096516925580289</v>
      </c>
      <c r="N13" s="46">
        <v>4.75</v>
      </c>
    </row>
    <row r="14" spans="1:14" ht="30" customHeight="1" x14ac:dyDescent="0.25">
      <c r="A14" s="39">
        <v>2004</v>
      </c>
      <c r="B14" s="50"/>
      <c r="C14" s="49"/>
      <c r="D14" s="61"/>
      <c r="E14" s="47"/>
      <c r="F14" s="50">
        <v>34644</v>
      </c>
      <c r="G14" s="49">
        <v>3.8894053438090381</v>
      </c>
      <c r="H14" s="53"/>
      <c r="I14" s="47"/>
      <c r="J14" s="50">
        <v>177770.42112499999</v>
      </c>
      <c r="K14" s="49">
        <v>0.33265761196876742</v>
      </c>
      <c r="L14" s="61">
        <v>328940</v>
      </c>
      <c r="M14" s="47">
        <v>0.48356992518869824</v>
      </c>
      <c r="N14" s="46">
        <v>5.25</v>
      </c>
    </row>
    <row r="15" spans="1:14" x14ac:dyDescent="0.25">
      <c r="A15" s="39">
        <v>2005</v>
      </c>
      <c r="B15" s="50"/>
      <c r="C15" s="49"/>
      <c r="D15" s="61"/>
      <c r="E15" s="47"/>
      <c r="F15" s="50">
        <v>36201</v>
      </c>
      <c r="G15" s="49">
        <v>4.4942847246276507</v>
      </c>
      <c r="H15" s="53"/>
      <c r="I15" s="47"/>
      <c r="J15" s="50">
        <v>182051.49767499999</v>
      </c>
      <c r="K15" s="49">
        <v>2.4082052137288645</v>
      </c>
      <c r="L15" s="61">
        <v>331399</v>
      </c>
      <c r="M15" s="47">
        <v>0.74755274518150117</v>
      </c>
      <c r="N15" s="46">
        <v>5.5</v>
      </c>
    </row>
    <row r="16" spans="1:14" x14ac:dyDescent="0.25">
      <c r="A16" s="39">
        <v>2006</v>
      </c>
      <c r="B16" s="50"/>
      <c r="C16" s="49"/>
      <c r="D16" s="61"/>
      <c r="E16" s="47"/>
      <c r="F16" s="50">
        <v>37575</v>
      </c>
      <c r="G16" s="49">
        <v>3.7954752631142785</v>
      </c>
      <c r="H16" s="53"/>
      <c r="I16" s="47"/>
      <c r="J16" s="50">
        <v>186080.09376666666</v>
      </c>
      <c r="K16" s="49">
        <v>2.2128881899442288</v>
      </c>
      <c r="L16" s="61">
        <v>335170</v>
      </c>
      <c r="M16" s="47">
        <v>1.1379032525747013</v>
      </c>
      <c r="N16" s="46">
        <v>5.75</v>
      </c>
    </row>
    <row r="17" spans="1:14" x14ac:dyDescent="0.25">
      <c r="A17" s="39">
        <v>2007</v>
      </c>
      <c r="B17" s="50"/>
      <c r="C17" s="49"/>
      <c r="D17" s="61"/>
      <c r="E17" s="47"/>
      <c r="F17" s="50">
        <v>41927</v>
      </c>
      <c r="G17" s="49">
        <v>11.582168995342656</v>
      </c>
      <c r="H17" s="53"/>
      <c r="I17" s="47"/>
      <c r="J17" s="50">
        <v>193986.06785000002</v>
      </c>
      <c r="K17" s="49">
        <v>4.2486941635180964</v>
      </c>
      <c r="L17" s="61">
        <v>342644</v>
      </c>
      <c r="M17" s="47">
        <v>2.2299131783870774</v>
      </c>
      <c r="N17" s="46">
        <v>6.25</v>
      </c>
    </row>
    <row r="18" spans="1:14" x14ac:dyDescent="0.25">
      <c r="A18" s="39">
        <v>2008</v>
      </c>
      <c r="B18" s="50"/>
      <c r="C18" s="49"/>
      <c r="D18" s="61"/>
      <c r="E18" s="47"/>
      <c r="F18" s="50">
        <v>42873</v>
      </c>
      <c r="G18" s="49">
        <v>2.2563026212226056</v>
      </c>
      <c r="H18" s="53"/>
      <c r="I18" s="47"/>
      <c r="J18" s="50">
        <v>195548.27694166661</v>
      </c>
      <c r="K18" s="49">
        <v>0.80532025262483042</v>
      </c>
      <c r="L18" s="61">
        <v>348368</v>
      </c>
      <c r="M18" s="47">
        <v>1.6705385181120969</v>
      </c>
      <c r="N18" s="46">
        <v>7.25</v>
      </c>
    </row>
    <row r="19" spans="1:14" ht="30" customHeight="1" x14ac:dyDescent="0.25">
      <c r="A19" s="39">
        <v>2009</v>
      </c>
      <c r="B19" s="50"/>
      <c r="C19" s="49"/>
      <c r="D19" s="61"/>
      <c r="E19" s="47"/>
      <c r="F19" s="50">
        <v>44213</v>
      </c>
      <c r="G19" s="49">
        <v>3.1255102278823443</v>
      </c>
      <c r="H19" s="53"/>
      <c r="I19" s="47"/>
      <c r="J19" s="50">
        <v>198012.43816666666</v>
      </c>
      <c r="K19" s="49">
        <v>1.2601293468492702</v>
      </c>
      <c r="L19" s="61">
        <v>354785</v>
      </c>
      <c r="M19" s="47">
        <v>1.8420176365222973</v>
      </c>
      <c r="N19" s="46">
        <v>3</v>
      </c>
    </row>
    <row r="20" spans="1:14" x14ac:dyDescent="0.25">
      <c r="A20" s="39">
        <v>2010</v>
      </c>
      <c r="B20" s="50"/>
      <c r="C20" s="49"/>
      <c r="D20" s="61"/>
      <c r="E20" s="47"/>
      <c r="F20" s="50">
        <v>45336</v>
      </c>
      <c r="G20" s="49">
        <v>2.5399769298622532</v>
      </c>
      <c r="H20" s="53"/>
      <c r="I20" s="47"/>
      <c r="J20" s="50">
        <v>200195.69763333333</v>
      </c>
      <c r="K20" s="49">
        <v>1.1025870328554843</v>
      </c>
      <c r="L20" s="61">
        <v>361766</v>
      </c>
      <c r="M20" s="47">
        <v>1.9676705610440104</v>
      </c>
      <c r="N20" s="46">
        <v>4.5</v>
      </c>
    </row>
    <row r="21" spans="1:14" x14ac:dyDescent="0.25">
      <c r="A21" s="39">
        <v>2011</v>
      </c>
      <c r="B21" s="50"/>
      <c r="C21" s="49"/>
      <c r="D21" s="61"/>
      <c r="E21" s="47"/>
      <c r="F21" s="50">
        <v>46951</v>
      </c>
      <c r="G21" s="49">
        <v>3.5622904535027367</v>
      </c>
      <c r="H21" s="53"/>
      <c r="I21" s="47"/>
      <c r="J21" s="50">
        <v>204846.06036666664</v>
      </c>
      <c r="K21" s="49">
        <v>2.3229084282573531</v>
      </c>
      <c r="L21" s="61">
        <v>367985</v>
      </c>
      <c r="M21" s="47">
        <v>1.7190670212236636</v>
      </c>
      <c r="N21" s="46">
        <v>4.75</v>
      </c>
    </row>
    <row r="22" spans="1:14" x14ac:dyDescent="0.25">
      <c r="A22" s="60">
        <v>2012</v>
      </c>
      <c r="B22" s="50"/>
      <c r="C22" s="55"/>
      <c r="D22" s="59"/>
      <c r="E22" s="57"/>
      <c r="F22" s="56">
        <v>48931</v>
      </c>
      <c r="G22" s="55">
        <v>4.2171625737470908</v>
      </c>
      <c r="H22" s="53"/>
      <c r="I22" s="47"/>
      <c r="J22" s="50">
        <v>205957.59366666665</v>
      </c>
      <c r="K22" s="55">
        <v>0.54261883192208149</v>
      </c>
      <c r="L22" s="59">
        <v>374912</v>
      </c>
      <c r="M22" s="47">
        <v>1.8824136853404339</v>
      </c>
      <c r="N22" s="46">
        <v>3.5</v>
      </c>
    </row>
    <row r="23" spans="1:14" x14ac:dyDescent="0.25">
      <c r="A23" s="58" t="s">
        <v>59</v>
      </c>
      <c r="B23" s="56"/>
      <c r="C23" s="55"/>
      <c r="D23" s="54"/>
      <c r="E23" s="57"/>
      <c r="F23" s="56">
        <v>49919</v>
      </c>
      <c r="G23" s="55">
        <v>2.0191698514234302</v>
      </c>
      <c r="H23" s="53"/>
      <c r="I23" s="47"/>
      <c r="J23" s="50">
        <v>209501.33909166662</v>
      </c>
      <c r="K23" s="55">
        <v>1.7206189691336915</v>
      </c>
      <c r="L23" s="54">
        <v>382831.15857658518</v>
      </c>
      <c r="M23" s="47">
        <v>2.112271300087798</v>
      </c>
      <c r="N23" s="46">
        <v>2.75</v>
      </c>
    </row>
    <row r="24" spans="1:14" ht="45" customHeight="1" x14ac:dyDescent="0.25">
      <c r="A24" s="43" t="s">
        <v>58</v>
      </c>
      <c r="B24" s="50"/>
      <c r="C24" s="49"/>
      <c r="D24" s="48"/>
      <c r="E24" s="47"/>
      <c r="F24" s="50">
        <f>F23*(1+'Updated forecasts'!B4)</f>
        <v>50883.822487920152</v>
      </c>
      <c r="G24" s="49">
        <f t="shared" ref="G24:G29" si="0">(F24/F23-1)*100</f>
        <v>1.9327760730786903</v>
      </c>
      <c r="H24" s="53"/>
      <c r="I24" s="47"/>
      <c r="J24" s="50">
        <f>J23*(1+'Updated forecasts'!C4)</f>
        <v>210690.99690652013</v>
      </c>
      <c r="K24" s="49">
        <f t="shared" ref="K24:K29" si="1">(J24/J23-1)*100</f>
        <v>0.56785212925678508</v>
      </c>
      <c r="L24" s="48">
        <f>L23*(1+'Updated forecasts'!D4)</f>
        <v>387782.53040588758</v>
      </c>
      <c r="M24" s="47">
        <f t="shared" ref="M24:M29" si="2">(L24/L23-1)*100</f>
        <v>1.2933565407037939</v>
      </c>
      <c r="N24" s="46">
        <f>'Updated forecasts'!E4</f>
        <v>2.5</v>
      </c>
    </row>
    <row r="25" spans="1:14" x14ac:dyDescent="0.25">
      <c r="A25" s="39">
        <v>2015</v>
      </c>
      <c r="B25" s="50"/>
      <c r="C25" s="49"/>
      <c r="D25" s="48"/>
      <c r="E25" s="47"/>
      <c r="F25" s="50">
        <f>F24*(1+'Updated forecasts'!B5)</f>
        <v>51202.920984819226</v>
      </c>
      <c r="G25" s="49">
        <f t="shared" si="0"/>
        <v>0.62711188212094537</v>
      </c>
      <c r="H25" s="53"/>
      <c r="I25" s="47"/>
      <c r="J25" s="50">
        <f>J24*(1+'Updated forecasts'!C5)</f>
        <v>209625.2066710644</v>
      </c>
      <c r="K25" s="49">
        <f t="shared" si="1"/>
        <v>-0.50585466446323446</v>
      </c>
      <c r="L25" s="48">
        <f>L24*(1+'Updated forecasts'!D5)</f>
        <v>392506.10300429165</v>
      </c>
      <c r="M25" s="47">
        <f t="shared" si="2"/>
        <v>1.2180983484377128</v>
      </c>
      <c r="N25" s="46">
        <f>'Updated forecasts'!E5</f>
        <v>2.5</v>
      </c>
    </row>
    <row r="26" spans="1:14" x14ac:dyDescent="0.25">
      <c r="A26" s="39">
        <v>2016</v>
      </c>
      <c r="B26" s="50"/>
      <c r="C26" s="49"/>
      <c r="D26" s="48"/>
      <c r="E26" s="47"/>
      <c r="F26" s="50">
        <f>F25*(1+'Updated forecasts'!B6)</f>
        <v>51933.876685394367</v>
      </c>
      <c r="G26" s="49">
        <f t="shared" si="0"/>
        <v>1.4275664093301499</v>
      </c>
      <c r="H26" s="53"/>
      <c r="I26" s="47"/>
      <c r="J26" s="50">
        <f>J25*(1+'Updated forecasts'!C6)</f>
        <v>210950.29772740998</v>
      </c>
      <c r="K26" s="49">
        <f t="shared" si="1"/>
        <v>0.63212391171298954</v>
      </c>
      <c r="L26" s="48">
        <f>L25*(1+'Updated forecasts'!D6)</f>
        <v>396760.02784912591</v>
      </c>
      <c r="M26" s="47">
        <f t="shared" si="2"/>
        <v>1.0837856563946868</v>
      </c>
      <c r="N26" s="46">
        <f>'Updated forecasts'!E6</f>
        <v>2.75</v>
      </c>
    </row>
    <row r="27" spans="1:14" x14ac:dyDescent="0.25">
      <c r="A27" s="39">
        <v>2017</v>
      </c>
      <c r="B27" s="50"/>
      <c r="C27" s="49"/>
      <c r="D27" s="48"/>
      <c r="E27" s="47"/>
      <c r="F27" s="50">
        <f>F26*(1+'Updated forecasts'!B7)</f>
        <v>53884.493285549739</v>
      </c>
      <c r="G27" s="49">
        <f t="shared" si="0"/>
        <v>3.7559618589073196</v>
      </c>
      <c r="H27" s="53"/>
      <c r="I27" s="47"/>
      <c r="J27" s="50">
        <f>J26*(1+'Updated forecasts'!C7)</f>
        <v>216680.73079758018</v>
      </c>
      <c r="K27" s="49">
        <f t="shared" si="1"/>
        <v>2.7164849407205205</v>
      </c>
      <c r="L27" s="48">
        <f>L26*(1+'Updated forecasts'!D7)</f>
        <v>401369.19907166046</v>
      </c>
      <c r="M27" s="47">
        <f t="shared" si="2"/>
        <v>1.1617025151251514</v>
      </c>
      <c r="N27" s="46">
        <f>'Updated forecasts'!E7</f>
        <v>3.25</v>
      </c>
    </row>
    <row r="28" spans="1:14" x14ac:dyDescent="0.25">
      <c r="A28" s="39">
        <v>2018</v>
      </c>
      <c r="B28" s="50"/>
      <c r="C28" s="49"/>
      <c r="D28" s="48"/>
      <c r="E28" s="47"/>
      <c r="F28" s="50">
        <f>F27*(1+'Updated forecasts'!B8)</f>
        <v>55930.513395273621</v>
      </c>
      <c r="G28" s="49">
        <f t="shared" si="0"/>
        <v>3.7970480651667637</v>
      </c>
      <c r="H28" s="53"/>
      <c r="I28" s="47"/>
      <c r="J28" s="50">
        <f>J27*(1+'Updated forecasts'!C8)</f>
        <v>222421.54872522652</v>
      </c>
      <c r="K28" s="49">
        <f t="shared" si="1"/>
        <v>2.6494362957494966</v>
      </c>
      <c r="L28" s="48">
        <f>L27*(1+'Updated forecasts'!D8)</f>
        <v>406482.13775635749</v>
      </c>
      <c r="M28" s="47">
        <f t="shared" si="2"/>
        <v>1.2738742027347705</v>
      </c>
      <c r="N28" s="46">
        <f>'Updated forecasts'!E8</f>
        <v>2.75</v>
      </c>
    </row>
    <row r="29" spans="1:14" x14ac:dyDescent="0.25">
      <c r="A29" s="36">
        <v>2019</v>
      </c>
      <c r="B29" s="50"/>
      <c r="C29" s="49"/>
      <c r="D29" s="48"/>
      <c r="E29" s="47"/>
      <c r="F29" s="50">
        <f>F28*(1+'Updated forecasts'!B9)</f>
        <v>57507.177619645852</v>
      </c>
      <c r="G29" s="49">
        <f t="shared" si="0"/>
        <v>2.8189696976846701</v>
      </c>
      <c r="H29" s="52"/>
      <c r="I29" s="51"/>
      <c r="J29" s="50">
        <f>J28*(1+'Updated forecasts'!C9)</f>
        <v>226699.6923590012</v>
      </c>
      <c r="K29" s="49">
        <f t="shared" si="1"/>
        <v>1.9234393692041829</v>
      </c>
      <c r="L29" s="48">
        <f>L28*(1+'Updated forecasts'!D9)</f>
        <v>411702.45317103737</v>
      </c>
      <c r="M29" s="47">
        <f t="shared" si="2"/>
        <v>1.2842668668036072</v>
      </c>
      <c r="N29" s="46">
        <f>'Updated forecasts'!E9</f>
        <v>3</v>
      </c>
    </row>
    <row r="30" spans="1:14" x14ac:dyDescent="0.25">
      <c r="A30" s="39"/>
      <c r="H30" s="3"/>
    </row>
    <row r="31" spans="1:14" x14ac:dyDescent="0.25">
      <c r="A31" s="33" t="s">
        <v>57</v>
      </c>
      <c r="H31" s="3"/>
    </row>
    <row r="32" spans="1:14" x14ac:dyDescent="0.25">
      <c r="A32" s="33" t="s">
        <v>48</v>
      </c>
    </row>
  </sheetData>
  <mergeCells count="6"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showGridLines="0" zoomScaleNormal="100" workbookViewId="0">
      <selection activeCell="J9" sqref="J9"/>
    </sheetView>
  </sheetViews>
  <sheetFormatPr defaultRowHeight="15" x14ac:dyDescent="0.25"/>
  <cols>
    <col min="1" max="1" width="9.28515625" style="33" customWidth="1"/>
    <col min="2" max="3" width="11" customWidth="1"/>
    <col min="4" max="6" width="9.7109375" customWidth="1"/>
    <col min="7" max="8" width="11" customWidth="1"/>
    <col min="9" max="23" width="9.7109375" customWidth="1"/>
    <col min="24" max="24" width="9.85546875" bestFit="1" customWidth="1"/>
    <col min="39" max="39" width="8" customWidth="1"/>
    <col min="40" max="40" width="10.140625" customWidth="1"/>
    <col min="41" max="41" width="11" customWidth="1"/>
    <col min="43" max="43" width="8.85546875" customWidth="1"/>
  </cols>
  <sheetData>
    <row r="1" spans="1:43" x14ac:dyDescent="0.25">
      <c r="A1" s="45"/>
    </row>
    <row r="2" spans="1:43" s="70" customFormat="1" ht="45" customHeight="1" x14ac:dyDescent="0.25">
      <c r="A2" s="72" t="s">
        <v>54</v>
      </c>
      <c r="B2" s="90"/>
      <c r="C2" s="90"/>
      <c r="D2" s="90"/>
      <c r="E2" s="88"/>
      <c r="F2" s="89"/>
      <c r="G2" s="90" t="s">
        <v>53</v>
      </c>
      <c r="H2" s="90"/>
      <c r="I2" s="90"/>
      <c r="J2" s="88"/>
      <c r="K2" s="91"/>
      <c r="L2" s="89"/>
      <c r="M2" s="86"/>
      <c r="N2" s="90" t="s">
        <v>10</v>
      </c>
      <c r="O2" s="90"/>
      <c r="P2" s="90"/>
      <c r="Q2" s="90"/>
      <c r="R2" s="87"/>
      <c r="S2" s="88" t="s">
        <v>52</v>
      </c>
      <c r="T2" s="91"/>
      <c r="U2" s="91"/>
      <c r="V2" s="89"/>
      <c r="W2" s="86"/>
      <c r="X2" s="71" t="s">
        <v>51</v>
      </c>
      <c r="AE2" s="70" t="s">
        <v>66</v>
      </c>
    </row>
    <row r="3" spans="1:43" ht="30" customHeight="1" x14ac:dyDescent="0.25">
      <c r="A3" s="69"/>
      <c r="B3" s="64"/>
      <c r="C3" s="66"/>
      <c r="D3" s="67"/>
      <c r="E3" s="68"/>
      <c r="F3" s="65"/>
      <c r="G3" s="64" t="s">
        <v>61</v>
      </c>
      <c r="H3" s="66" t="s">
        <v>63</v>
      </c>
      <c r="I3" s="67" t="s">
        <v>60</v>
      </c>
      <c r="J3" s="66"/>
      <c r="K3" s="66"/>
      <c r="L3" s="65"/>
      <c r="M3" s="66"/>
      <c r="N3" s="64" t="s">
        <v>18</v>
      </c>
      <c r="O3" s="66" t="s">
        <v>63</v>
      </c>
      <c r="P3" s="66"/>
      <c r="Q3" s="67" t="s">
        <v>60</v>
      </c>
      <c r="R3" s="66" t="s">
        <v>63</v>
      </c>
      <c r="S3" s="66" t="s">
        <v>18</v>
      </c>
      <c r="T3" s="66" t="s">
        <v>63</v>
      </c>
      <c r="U3" s="66"/>
      <c r="V3" s="65" t="s">
        <v>60</v>
      </c>
      <c r="W3" s="66" t="s">
        <v>63</v>
      </c>
      <c r="X3" s="64"/>
      <c r="Y3" s="85" t="s">
        <v>63</v>
      </c>
      <c r="Z3" s="85" t="s">
        <v>65</v>
      </c>
      <c r="AB3" s="85"/>
      <c r="AC3" s="85"/>
      <c r="AE3" s="85" t="s">
        <v>64</v>
      </c>
      <c r="AF3" s="85" t="s">
        <v>63</v>
      </c>
      <c r="AH3" s="85"/>
      <c r="AI3" s="85"/>
      <c r="AK3" s="85"/>
      <c r="AL3" s="85"/>
      <c r="AN3" s="85"/>
      <c r="AP3" s="85"/>
    </row>
    <row r="4" spans="1:43" x14ac:dyDescent="0.25">
      <c r="A4" s="39">
        <v>1994</v>
      </c>
      <c r="B4" s="50"/>
      <c r="C4" s="48"/>
      <c r="D4" s="63"/>
      <c r="E4" s="61"/>
      <c r="F4" s="62"/>
      <c r="G4" s="50">
        <f>+Data!F4</f>
        <v>21854</v>
      </c>
      <c r="H4" s="48"/>
      <c r="I4" s="63"/>
      <c r="J4" s="53"/>
      <c r="K4" s="53"/>
      <c r="L4" s="62"/>
      <c r="M4" s="84"/>
      <c r="N4" s="50">
        <f>+Data!J4</f>
        <v>152605.39986666664</v>
      </c>
      <c r="O4" s="48"/>
      <c r="P4" s="48"/>
      <c r="Q4" s="63"/>
      <c r="R4" s="84"/>
      <c r="S4" s="61">
        <f>+Data!L4</f>
        <v>302194</v>
      </c>
      <c r="T4" s="61"/>
      <c r="U4" s="61"/>
      <c r="V4" s="62"/>
      <c r="W4" s="84"/>
      <c r="X4" s="46">
        <v>4.75</v>
      </c>
      <c r="AP4" s="38"/>
      <c r="AQ4" s="10"/>
    </row>
    <row r="5" spans="1:43" x14ac:dyDescent="0.25">
      <c r="A5" s="39">
        <v>1995</v>
      </c>
      <c r="B5" s="50"/>
      <c r="C5" s="48"/>
      <c r="D5" s="49"/>
      <c r="E5" s="61"/>
      <c r="F5" s="47"/>
      <c r="G5" s="50">
        <f>+Data!F5</f>
        <v>22279</v>
      </c>
      <c r="H5" s="48"/>
      <c r="I5" s="49">
        <v>1.9447240779719932</v>
      </c>
      <c r="J5" s="53"/>
      <c r="K5" s="53"/>
      <c r="L5" s="47"/>
      <c r="M5" s="83"/>
      <c r="N5" s="50">
        <f>+Data!J5</f>
        <v>153805.01831666665</v>
      </c>
      <c r="O5" s="48"/>
      <c r="P5" s="48"/>
      <c r="Q5" s="49">
        <v>0.78609174449142394</v>
      </c>
      <c r="R5" s="83"/>
      <c r="S5" s="61">
        <f>+Data!L5</f>
        <v>305838</v>
      </c>
      <c r="T5" s="61"/>
      <c r="U5" s="61"/>
      <c r="V5" s="47">
        <v>1.2058478990317534</v>
      </c>
      <c r="W5" s="83"/>
      <c r="X5" s="46">
        <v>7.5</v>
      </c>
      <c r="AP5" s="38"/>
      <c r="AQ5" s="10"/>
    </row>
    <row r="6" spans="1:43" x14ac:dyDescent="0.25">
      <c r="A6" s="39">
        <v>1996</v>
      </c>
      <c r="B6" s="50"/>
      <c r="C6" s="48"/>
      <c r="D6" s="49"/>
      <c r="E6" s="61"/>
      <c r="F6" s="47"/>
      <c r="G6" s="50">
        <f>+Data!F6</f>
        <v>22541</v>
      </c>
      <c r="H6" s="48"/>
      <c r="I6" s="49">
        <v>1.1759953319269156</v>
      </c>
      <c r="J6" s="53"/>
      <c r="K6" s="53"/>
      <c r="L6" s="47"/>
      <c r="M6" s="83"/>
      <c r="N6" s="50">
        <f>+Data!J6</f>
        <v>156310.93774166665</v>
      </c>
      <c r="O6" s="48"/>
      <c r="P6" s="48"/>
      <c r="Q6" s="49">
        <v>1.6292832655437905</v>
      </c>
      <c r="R6" s="83"/>
      <c r="S6" s="61">
        <f>+Data!L6</f>
        <v>309629</v>
      </c>
      <c r="T6" s="61"/>
      <c r="U6" s="61"/>
      <c r="V6" s="47">
        <v>1.2395451186575812</v>
      </c>
      <c r="W6" s="83"/>
      <c r="X6" s="46">
        <v>7.51</v>
      </c>
    </row>
    <row r="7" spans="1:43" x14ac:dyDescent="0.25">
      <c r="A7" s="39">
        <v>1997</v>
      </c>
      <c r="B7" s="50"/>
      <c r="C7" s="48"/>
      <c r="D7" s="49"/>
      <c r="E7" s="61"/>
      <c r="F7" s="47"/>
      <c r="G7" s="50">
        <f>+Data!F7</f>
        <v>23896</v>
      </c>
      <c r="H7" s="48"/>
      <c r="I7" s="49">
        <v>6.0112683554411905</v>
      </c>
      <c r="J7" s="53"/>
      <c r="K7" s="53"/>
      <c r="L7" s="47"/>
      <c r="M7" s="83"/>
      <c r="N7" s="50">
        <f>+Data!J7</f>
        <v>152807.60326666667</v>
      </c>
      <c r="O7" s="48"/>
      <c r="P7" s="48"/>
      <c r="Q7" s="49">
        <v>-2.241259969145537</v>
      </c>
      <c r="R7" s="83"/>
      <c r="S7" s="61">
        <f>+Data!L7</f>
        <v>310533</v>
      </c>
      <c r="T7" s="61"/>
      <c r="U7" s="61"/>
      <c r="V7" s="47">
        <v>0.29196231619130764</v>
      </c>
      <c r="W7" s="83"/>
      <c r="X7" s="46">
        <v>5.57</v>
      </c>
    </row>
    <row r="8" spans="1:43" x14ac:dyDescent="0.25">
      <c r="A8" s="39">
        <v>1998</v>
      </c>
      <c r="B8" s="50"/>
      <c r="C8" s="48"/>
      <c r="D8" s="49"/>
      <c r="E8" s="61"/>
      <c r="F8" s="47"/>
      <c r="G8" s="50">
        <f>+Data!F8</f>
        <v>24620</v>
      </c>
      <c r="H8" s="48"/>
      <c r="I8" s="49">
        <v>3.029795781720801</v>
      </c>
      <c r="J8" s="53"/>
      <c r="K8" s="53"/>
      <c r="L8" s="47"/>
      <c r="M8" s="83"/>
      <c r="N8" s="50">
        <f>+Data!J8</f>
        <v>154210.6881</v>
      </c>
      <c r="O8" s="48"/>
      <c r="P8" s="48"/>
      <c r="Q8" s="49">
        <v>0.91820354703475715</v>
      </c>
      <c r="R8" s="83"/>
      <c r="S8" s="61">
        <f>+Data!L8</f>
        <v>311532</v>
      </c>
      <c r="T8" s="61"/>
      <c r="U8" s="61"/>
      <c r="V8" s="47">
        <v>0.32170493957164314</v>
      </c>
      <c r="W8" s="83"/>
      <c r="X8" s="46">
        <v>5.07</v>
      </c>
    </row>
    <row r="9" spans="1:43" ht="30" customHeight="1" x14ac:dyDescent="0.25">
      <c r="A9" s="39">
        <v>1999</v>
      </c>
      <c r="B9" s="50"/>
      <c r="C9" s="48"/>
      <c r="D9" s="49"/>
      <c r="E9" s="61"/>
      <c r="F9" s="47"/>
      <c r="G9" s="50">
        <f>+Data!F9</f>
        <v>25779</v>
      </c>
      <c r="H9" s="48"/>
      <c r="I9" s="49">
        <v>4.7075548334687189</v>
      </c>
      <c r="J9" s="53"/>
      <c r="K9" s="53"/>
      <c r="L9" s="47"/>
      <c r="M9" s="83"/>
      <c r="N9" s="50">
        <f>+Data!J9</f>
        <v>157940.55125000002</v>
      </c>
      <c r="O9" s="48"/>
      <c r="P9" s="48"/>
      <c r="Q9" s="49">
        <v>2.4186800512694395</v>
      </c>
      <c r="R9" s="83"/>
      <c r="S9" s="61">
        <f>+Data!L9</f>
        <v>314171</v>
      </c>
      <c r="T9" s="61"/>
      <c r="U9" s="61"/>
      <c r="V9" s="47">
        <v>0.84710398931731046</v>
      </c>
      <c r="W9" s="83"/>
      <c r="X9" s="46">
        <v>4.8</v>
      </c>
    </row>
    <row r="10" spans="1:43" x14ac:dyDescent="0.25">
      <c r="A10" s="39">
        <v>2000</v>
      </c>
      <c r="B10" s="50"/>
      <c r="C10" s="48"/>
      <c r="D10" s="49"/>
      <c r="E10" s="61"/>
      <c r="F10" s="47"/>
      <c r="G10" s="50">
        <f>+Data!F10</f>
        <v>28591</v>
      </c>
      <c r="H10" s="48">
        <f>+'[1]GSP-SFD'!E14</f>
        <v>28556</v>
      </c>
      <c r="I10" s="49">
        <v>10.908103495092902</v>
      </c>
      <c r="J10" s="53"/>
      <c r="K10" s="53"/>
      <c r="L10" s="47"/>
      <c r="M10" s="83"/>
      <c r="N10" s="50">
        <f>+Data!J10</f>
        <v>167273.57906666666</v>
      </c>
      <c r="O10" s="48">
        <f>+[1]employment!I6*1000</f>
        <v>125423.95846666666</v>
      </c>
      <c r="P10" s="81">
        <f t="shared" ref="P10:P29" si="0">O10/N10</f>
        <v>0.74981332477306006</v>
      </c>
      <c r="Q10" s="49">
        <v>5.9092030151861596</v>
      </c>
      <c r="R10" s="83"/>
      <c r="S10" s="61">
        <f>+Data!L10</f>
        <v>317235</v>
      </c>
      <c r="T10" s="61">
        <f>+[1]population!M10</f>
        <v>316057.5</v>
      </c>
      <c r="U10" s="61">
        <f t="shared" ref="U10:U23" si="1">S10-T10</f>
        <v>1177.5</v>
      </c>
      <c r="V10" s="47">
        <v>0.97526506265697144</v>
      </c>
      <c r="W10" s="83"/>
      <c r="X10" s="46">
        <v>6</v>
      </c>
      <c r="Y10" s="38">
        <f>+'[1]Interest Rate'!I23</f>
        <v>5.2210260256935447E-2</v>
      </c>
      <c r="Z10" s="2">
        <f ca="1">+'[1]Interest Rate'!K23</f>
        <v>6</v>
      </c>
      <c r="AE10">
        <f t="shared" ref="AE10:AE29" si="2">N10/S10*1000</f>
        <v>527.28601530936578</v>
      </c>
      <c r="AF10">
        <f>[2]Data!AM6</f>
        <v>396.83905133295895</v>
      </c>
      <c r="AM10" s="8"/>
      <c r="AN10" s="5"/>
    </row>
    <row r="11" spans="1:43" x14ac:dyDescent="0.25">
      <c r="A11" s="39">
        <v>2001</v>
      </c>
      <c r="B11" s="50"/>
      <c r="C11" s="48"/>
      <c r="D11" s="49"/>
      <c r="E11" s="61"/>
      <c r="F11" s="47"/>
      <c r="G11" s="50">
        <f>+Data!F11</f>
        <v>29109</v>
      </c>
      <c r="H11" s="48">
        <f>+'[1]GSP-SFD'!E15</f>
        <v>29080</v>
      </c>
      <c r="I11" s="49">
        <v>1.8117589451225991</v>
      </c>
      <c r="J11" s="53"/>
      <c r="K11" s="53"/>
      <c r="L11" s="47"/>
      <c r="M11" s="79"/>
      <c r="N11" s="50">
        <f>+Data!J11</f>
        <v>171636.84539999999</v>
      </c>
      <c r="O11" s="48">
        <f>+[1]employment!I7*1000</f>
        <v>127519.3401</v>
      </c>
      <c r="P11" s="81">
        <f t="shared" si="0"/>
        <v>0.74296017153435756</v>
      </c>
      <c r="Q11" s="49">
        <v>2.608461155478925</v>
      </c>
      <c r="R11" s="79">
        <f t="shared" ref="R11:R29" si="3">O11/O10-1</f>
        <v>1.6706390540928595E-2</v>
      </c>
      <c r="S11" s="61">
        <f>+Data!L11</f>
        <v>321538</v>
      </c>
      <c r="T11" s="61">
        <f>+[1]population!M11</f>
        <v>319771</v>
      </c>
      <c r="U11" s="61">
        <f t="shared" si="1"/>
        <v>1767</v>
      </c>
      <c r="V11" s="47">
        <v>1.3564077103724426</v>
      </c>
      <c r="W11" s="79">
        <f t="shared" ref="W11:W23" si="4">T11/T10-1</f>
        <v>1.1749444325795055E-2</v>
      </c>
      <c r="X11" s="46">
        <v>5</v>
      </c>
      <c r="Y11" s="38">
        <f>+'[1]Interest Rate'!I24</f>
        <v>5.8283450446493933E-2</v>
      </c>
      <c r="Z11" s="2">
        <f ca="1">+'[1]Interest Rate'!K24</f>
        <v>5</v>
      </c>
      <c r="AE11">
        <f t="shared" si="2"/>
        <v>533.79956770272872</v>
      </c>
      <c r="AF11">
        <f>[2]Data!AM7</f>
        <v>398.78331712381674</v>
      </c>
      <c r="AM11" s="8"/>
      <c r="AN11" s="5"/>
      <c r="AO11" s="38"/>
    </row>
    <row r="12" spans="1:43" x14ac:dyDescent="0.25">
      <c r="A12" s="39">
        <v>2002</v>
      </c>
      <c r="B12" s="50"/>
      <c r="C12" s="48"/>
      <c r="D12" s="49"/>
      <c r="E12" s="61"/>
      <c r="F12" s="47"/>
      <c r="G12" s="50">
        <f>+Data!F12</f>
        <v>30834</v>
      </c>
      <c r="H12" s="48">
        <f>+'[1]GSP-SFD'!E16</f>
        <v>30804</v>
      </c>
      <c r="I12" s="49">
        <v>5.9260022673399915</v>
      </c>
      <c r="J12" s="53"/>
      <c r="K12" s="53"/>
      <c r="L12" s="47"/>
      <c r="M12" s="79"/>
      <c r="N12" s="50">
        <f>+Data!J12</f>
        <v>172340.23880833332</v>
      </c>
      <c r="O12" s="48">
        <f>+[1]employment!I8*1000</f>
        <v>127880.48285</v>
      </c>
      <c r="P12" s="81">
        <f t="shared" si="0"/>
        <v>0.74202335875965186</v>
      </c>
      <c r="Q12" s="49">
        <v>0.40981492446687806</v>
      </c>
      <c r="R12" s="79">
        <f t="shared" si="3"/>
        <v>2.8320625696212076E-3</v>
      </c>
      <c r="S12" s="61">
        <f>+Data!L12</f>
        <v>324627</v>
      </c>
      <c r="T12" s="61">
        <f>+[1]population!M12</f>
        <v>323407.5</v>
      </c>
      <c r="U12" s="61">
        <f t="shared" si="1"/>
        <v>1219.5</v>
      </c>
      <c r="V12" s="47">
        <v>0.96069515889256607</v>
      </c>
      <c r="W12" s="79">
        <f t="shared" si="4"/>
        <v>1.1372200731148308E-2</v>
      </c>
      <c r="X12" s="46">
        <v>4.72</v>
      </c>
      <c r="Y12" s="38">
        <f>+'[1]Interest Rate'!I25</f>
        <v>4.5201992753623195E-2</v>
      </c>
      <c r="Z12" s="2">
        <f ca="1">+'[1]Interest Rate'!K25</f>
        <v>4.7236842105263159</v>
      </c>
      <c r="AE12">
        <f t="shared" si="2"/>
        <v>530.88695274371298</v>
      </c>
      <c r="AF12">
        <f>[2]Data!AM8</f>
        <v>395.41594690908528</v>
      </c>
      <c r="AM12" s="8"/>
      <c r="AN12" s="5"/>
      <c r="AO12" s="38"/>
    </row>
    <row r="13" spans="1:43" x14ac:dyDescent="0.25">
      <c r="A13" s="39">
        <v>2003</v>
      </c>
      <c r="B13" s="50"/>
      <c r="C13" s="48"/>
      <c r="D13" s="49"/>
      <c r="E13" s="61"/>
      <c r="F13" s="47"/>
      <c r="G13" s="50">
        <f>+Data!F13</f>
        <v>33347</v>
      </c>
      <c r="H13" s="48">
        <f>+'[1]GSP-SFD'!E17</f>
        <v>33324</v>
      </c>
      <c r="I13" s="49">
        <v>8.1500940520204956</v>
      </c>
      <c r="J13" s="53"/>
      <c r="K13" s="53"/>
      <c r="L13" s="47"/>
      <c r="M13" s="79"/>
      <c r="N13" s="50">
        <f>+Data!J13</f>
        <v>177181.01499166669</v>
      </c>
      <c r="O13" s="48">
        <f>+[1]employment!I9*1000</f>
        <v>131432.72031666667</v>
      </c>
      <c r="P13" s="81">
        <f t="shared" si="0"/>
        <v>0.74179911613469607</v>
      </c>
      <c r="Q13" s="49">
        <v>2.8088484829807969</v>
      </c>
      <c r="R13" s="79">
        <f t="shared" si="3"/>
        <v>2.7777792103219845E-2</v>
      </c>
      <c r="S13" s="61">
        <f>+Data!L13</f>
        <v>327357</v>
      </c>
      <c r="T13" s="61">
        <f>+[1]population!M13</f>
        <v>326411.25</v>
      </c>
      <c r="U13" s="61">
        <f t="shared" si="1"/>
        <v>945.75</v>
      </c>
      <c r="V13" s="47">
        <v>0.84096516925580289</v>
      </c>
      <c r="W13" s="79">
        <f t="shared" si="4"/>
        <v>9.2878180005102617E-3</v>
      </c>
      <c r="X13" s="46">
        <v>4.75</v>
      </c>
      <c r="Y13" s="38">
        <f>+'[1]Interest Rate'!I26</f>
        <v>4.7500000000000001E-2</v>
      </c>
      <c r="Z13" s="2">
        <f ca="1">+'[1]Interest Rate'!K26</f>
        <v>4.75</v>
      </c>
      <c r="AE13">
        <f t="shared" si="2"/>
        <v>541.24706357788796</v>
      </c>
      <c r="AF13">
        <f>[2]Data!AM9</f>
        <v>402.65989703684136</v>
      </c>
      <c r="AM13" s="8"/>
      <c r="AN13" s="5"/>
      <c r="AO13" s="38"/>
    </row>
    <row r="14" spans="1:43" ht="30" customHeight="1" x14ac:dyDescent="0.25">
      <c r="A14" s="39">
        <v>2004</v>
      </c>
      <c r="B14" s="50"/>
      <c r="C14" s="48"/>
      <c r="D14" s="49"/>
      <c r="E14" s="61"/>
      <c r="F14" s="47"/>
      <c r="G14" s="50">
        <f>+Data!F14</f>
        <v>34644</v>
      </c>
      <c r="H14" s="48">
        <f>+'[1]GSP-SFD'!E18</f>
        <v>34629</v>
      </c>
      <c r="I14" s="49">
        <v>3.8894053438090381</v>
      </c>
      <c r="J14" s="53"/>
      <c r="K14" s="53"/>
      <c r="L14" s="47"/>
      <c r="M14" s="79"/>
      <c r="N14" s="50">
        <f>+Data!J14</f>
        <v>177770.42112499999</v>
      </c>
      <c r="O14" s="48">
        <f>+[1]employment!I10*1000</f>
        <v>129939.60422500002</v>
      </c>
      <c r="P14" s="81">
        <f t="shared" si="0"/>
        <v>0.73094052094095263</v>
      </c>
      <c r="Q14" s="49">
        <v>0.33265761196876742</v>
      </c>
      <c r="R14" s="79">
        <f t="shared" si="3"/>
        <v>-1.136030729691373E-2</v>
      </c>
      <c r="S14" s="61">
        <f>+Data!L14</f>
        <v>328940</v>
      </c>
      <c r="T14" s="61">
        <f>+[1]population!M14</f>
        <v>328120.75</v>
      </c>
      <c r="U14" s="61">
        <f t="shared" si="1"/>
        <v>819.25</v>
      </c>
      <c r="V14" s="47">
        <v>0.48356992518869824</v>
      </c>
      <c r="W14" s="79">
        <f t="shared" si="4"/>
        <v>5.2372582133735079E-3</v>
      </c>
      <c r="X14" s="46">
        <v>5.25</v>
      </c>
      <c r="Y14" s="38">
        <f>+'[1]Interest Rate'!I27</f>
        <v>5.0584325396825398E-2</v>
      </c>
      <c r="Z14" s="2">
        <f ca="1">+'[1]Interest Rate'!K27</f>
        <v>5.25</v>
      </c>
      <c r="AE14">
        <f t="shared" si="2"/>
        <v>540.43418594576519</v>
      </c>
      <c r="AF14">
        <f>[2]Data!AM10</f>
        <v>396.01154216854621</v>
      </c>
      <c r="AM14" s="8"/>
      <c r="AN14" s="5"/>
      <c r="AO14" s="38"/>
    </row>
    <row r="15" spans="1:43" x14ac:dyDescent="0.25">
      <c r="A15" s="39">
        <v>2005</v>
      </c>
      <c r="B15" s="50"/>
      <c r="C15" s="48"/>
      <c r="D15" s="49"/>
      <c r="E15" s="61"/>
      <c r="F15" s="47"/>
      <c r="G15" s="50">
        <f>+Data!F15</f>
        <v>36201</v>
      </c>
      <c r="H15" s="48">
        <f>+'[1]GSP-SFD'!E19</f>
        <v>36188</v>
      </c>
      <c r="I15" s="49">
        <v>4.4942847246276507</v>
      </c>
      <c r="J15" s="53"/>
      <c r="K15" s="53"/>
      <c r="L15" s="47"/>
      <c r="M15" s="79"/>
      <c r="N15" s="50">
        <f>+Data!J15</f>
        <v>182051.49767499999</v>
      </c>
      <c r="O15" s="48">
        <f>+[1]employment!I11*1000</f>
        <v>135040.77445000003</v>
      </c>
      <c r="P15" s="81">
        <f t="shared" si="0"/>
        <v>0.74177238954153546</v>
      </c>
      <c r="Q15" s="49">
        <v>2.4082052137288645</v>
      </c>
      <c r="R15" s="79">
        <f t="shared" si="3"/>
        <v>3.925800956086456E-2</v>
      </c>
      <c r="S15" s="61">
        <f>+Data!L15</f>
        <v>331399</v>
      </c>
      <c r="T15" s="61">
        <f>+[1]population!M15</f>
        <v>330236</v>
      </c>
      <c r="U15" s="61">
        <f t="shared" si="1"/>
        <v>1163</v>
      </c>
      <c r="V15" s="47">
        <v>0.74755274518150117</v>
      </c>
      <c r="W15" s="79">
        <f t="shared" si="4"/>
        <v>6.446559688773057E-3</v>
      </c>
      <c r="X15" s="46">
        <v>5.5</v>
      </c>
      <c r="Y15" s="38">
        <f>+'[1]Interest Rate'!I28</f>
        <v>5.3323412698412703E-2</v>
      </c>
      <c r="Z15" s="2">
        <f ca="1">+'[1]Interest Rate'!K28</f>
        <v>5.5</v>
      </c>
      <c r="AE15">
        <f t="shared" si="2"/>
        <v>549.34232654594609</v>
      </c>
      <c r="AF15">
        <f>[2]Data!AM11</f>
        <v>408.92202682324165</v>
      </c>
      <c r="AM15" s="8"/>
      <c r="AN15" s="5"/>
      <c r="AO15" s="38"/>
    </row>
    <row r="16" spans="1:43" x14ac:dyDescent="0.25">
      <c r="A16" s="39">
        <v>2006</v>
      </c>
      <c r="B16" s="50"/>
      <c r="C16" s="48"/>
      <c r="D16" s="49"/>
      <c r="E16" s="61"/>
      <c r="F16" s="47"/>
      <c r="G16" s="50">
        <f>+Data!F16</f>
        <v>37575</v>
      </c>
      <c r="H16" s="48">
        <f>+'[1]GSP-SFD'!E20</f>
        <v>37575</v>
      </c>
      <c r="I16" s="49">
        <v>3.7954752631142785</v>
      </c>
      <c r="J16" s="53"/>
      <c r="K16" s="53"/>
      <c r="L16" s="47"/>
      <c r="M16" s="79"/>
      <c r="N16" s="50">
        <f>+Data!J16</f>
        <v>186080.09376666666</v>
      </c>
      <c r="O16" s="48">
        <f>+[1]employment!I12*1000</f>
        <v>138748.01571666668</v>
      </c>
      <c r="P16" s="81">
        <f t="shared" si="0"/>
        <v>0.74563599420069304</v>
      </c>
      <c r="Q16" s="49">
        <v>2.2128881899442288</v>
      </c>
      <c r="R16" s="79">
        <f t="shared" si="3"/>
        <v>2.7452754782884448E-2</v>
      </c>
      <c r="S16" s="61">
        <f>+Data!L16</f>
        <v>335170</v>
      </c>
      <c r="T16" s="61">
        <f>+[1]population!M16</f>
        <v>333787.75</v>
      </c>
      <c r="U16" s="61">
        <f t="shared" si="1"/>
        <v>1382.25</v>
      </c>
      <c r="V16" s="47">
        <v>1.1379032525747013</v>
      </c>
      <c r="W16" s="79">
        <f t="shared" si="4"/>
        <v>1.0755187199457339E-2</v>
      </c>
      <c r="X16" s="46">
        <v>5.75</v>
      </c>
      <c r="Y16" s="38">
        <f>+'[1]Interest Rate'!I29</f>
        <v>5.5398550724637681E-2</v>
      </c>
      <c r="Z16" s="2">
        <f ca="1">+'[1]Interest Rate'!K29</f>
        <v>5.75</v>
      </c>
      <c r="AE16">
        <f t="shared" si="2"/>
        <v>555.18123270778005</v>
      </c>
      <c r="AF16">
        <f>[2]Data!AM12</f>
        <v>415.6773749685741</v>
      </c>
      <c r="AM16" s="8"/>
      <c r="AN16" s="5"/>
      <c r="AO16" s="38"/>
    </row>
    <row r="17" spans="1:41" x14ac:dyDescent="0.25">
      <c r="A17" s="39">
        <v>2007</v>
      </c>
      <c r="B17" s="50"/>
      <c r="C17" s="48"/>
      <c r="D17" s="49"/>
      <c r="E17" s="61"/>
      <c r="F17" s="47"/>
      <c r="G17" s="50">
        <f>+Data!F17</f>
        <v>41927</v>
      </c>
      <c r="H17" s="48">
        <f>+'[1]GSP-SFD'!E21</f>
        <v>41946</v>
      </c>
      <c r="I17" s="49">
        <v>11.582168995342656</v>
      </c>
      <c r="J17" s="53"/>
      <c r="K17" s="53"/>
      <c r="L17" s="47"/>
      <c r="M17" s="79"/>
      <c r="N17" s="50">
        <f>+Data!J17</f>
        <v>193986.06785000002</v>
      </c>
      <c r="O17" s="48">
        <f>+[1]employment!I13*1000</f>
        <v>146508.68898333336</v>
      </c>
      <c r="P17" s="81">
        <f t="shared" si="0"/>
        <v>0.75525366644691927</v>
      </c>
      <c r="Q17" s="49">
        <v>4.2486941635180964</v>
      </c>
      <c r="R17" s="79">
        <f t="shared" si="3"/>
        <v>5.5933580214325485E-2</v>
      </c>
      <c r="S17" s="61">
        <f>+Data!L17</f>
        <v>342644</v>
      </c>
      <c r="T17" s="61">
        <f>+[1]population!M17</f>
        <v>339529</v>
      </c>
      <c r="U17" s="61">
        <f t="shared" si="1"/>
        <v>3115</v>
      </c>
      <c r="V17" s="47">
        <v>2.2299131783870774</v>
      </c>
      <c r="W17" s="79">
        <f t="shared" si="4"/>
        <v>1.7200301688722774E-2</v>
      </c>
      <c r="X17" s="46">
        <v>6.25</v>
      </c>
      <c r="Y17" s="38">
        <f>+'[1]Interest Rate'!I30</f>
        <v>6.1401926877470363E-2</v>
      </c>
      <c r="Z17" s="2">
        <f ca="1">+'[1]Interest Rate'!K30</f>
        <v>6.25</v>
      </c>
      <c r="AE17">
        <f t="shared" si="2"/>
        <v>566.1446511539674</v>
      </c>
      <c r="AF17">
        <f>[2]Data!AM13</f>
        <v>431.50567104233619</v>
      </c>
      <c r="AM17" s="8"/>
      <c r="AN17" s="5"/>
      <c r="AO17" s="38"/>
    </row>
    <row r="18" spans="1:41" x14ac:dyDescent="0.25">
      <c r="A18" s="39">
        <v>2008</v>
      </c>
      <c r="B18" s="50"/>
      <c r="C18" s="48"/>
      <c r="D18" s="49"/>
      <c r="E18" s="61"/>
      <c r="F18" s="47"/>
      <c r="G18" s="50">
        <f>+Data!F18</f>
        <v>42873</v>
      </c>
      <c r="H18" s="48">
        <f>+'[1]GSP-SFD'!E22</f>
        <v>42875</v>
      </c>
      <c r="I18" s="49">
        <v>2.2563026212226056</v>
      </c>
      <c r="J18" s="53"/>
      <c r="K18" s="53"/>
      <c r="L18" s="47"/>
      <c r="M18" s="79"/>
      <c r="N18" s="50">
        <f>+Data!J18</f>
        <v>195548.27694166661</v>
      </c>
      <c r="O18" s="48">
        <f>+[1]employment!I14*1000</f>
        <v>147557.66788333331</v>
      </c>
      <c r="P18" s="81">
        <f t="shared" si="0"/>
        <v>0.75458434199014079</v>
      </c>
      <c r="Q18" s="49">
        <v>0.80532025262483042</v>
      </c>
      <c r="R18" s="79">
        <f t="shared" si="3"/>
        <v>7.1598408755080278E-3</v>
      </c>
      <c r="S18" s="61">
        <f>+Data!L18</f>
        <v>348368</v>
      </c>
      <c r="T18" s="61">
        <f>+[1]population!M18</f>
        <v>345590.5</v>
      </c>
      <c r="U18" s="61">
        <f t="shared" si="1"/>
        <v>2777.5</v>
      </c>
      <c r="V18" s="47">
        <v>1.6705385181120969</v>
      </c>
      <c r="W18" s="79">
        <f t="shared" si="4"/>
        <v>1.7852672378500856E-2</v>
      </c>
      <c r="X18" s="46">
        <v>7.25</v>
      </c>
      <c r="Y18" s="38">
        <f>+'[1]Interest Rate'!I31</f>
        <v>6.8204212144191464E-2</v>
      </c>
      <c r="Z18" s="2">
        <f ca="1">+'[1]Interest Rate'!K31</f>
        <v>7.2499874160159168</v>
      </c>
      <c r="AE18">
        <f t="shared" si="2"/>
        <v>561.32674913214362</v>
      </c>
      <c r="AF18">
        <f>[2]Data!AM14</f>
        <v>426.9725813740057</v>
      </c>
      <c r="AM18" s="8"/>
      <c r="AN18" s="5"/>
      <c r="AO18" s="38"/>
    </row>
    <row r="19" spans="1:41" ht="30" customHeight="1" x14ac:dyDescent="0.25">
      <c r="A19" s="39">
        <v>2009</v>
      </c>
      <c r="B19" s="50"/>
      <c r="C19" s="48"/>
      <c r="D19" s="49"/>
      <c r="E19" s="61"/>
      <c r="F19" s="47"/>
      <c r="G19" s="50">
        <f>+Data!F19</f>
        <v>44213</v>
      </c>
      <c r="H19" s="48">
        <f>+'[1]GSP-SFD'!E23</f>
        <v>44196</v>
      </c>
      <c r="I19" s="49">
        <v>3.1255102278823443</v>
      </c>
      <c r="J19" s="53"/>
      <c r="K19" s="53"/>
      <c r="L19" s="47"/>
      <c r="M19" s="79"/>
      <c r="N19" s="50">
        <f>+Data!J19</f>
        <v>198012.43816666666</v>
      </c>
      <c r="O19" s="48">
        <f>+[1]employment!I15*1000</f>
        <v>149006.82477500002</v>
      </c>
      <c r="P19" s="81">
        <f t="shared" si="0"/>
        <v>0.75251244898858971</v>
      </c>
      <c r="Q19" s="49">
        <v>1.2601293468492702</v>
      </c>
      <c r="R19" s="79">
        <f t="shared" si="3"/>
        <v>9.82095280072115E-3</v>
      </c>
      <c r="S19" s="61">
        <f>+Data!L19</f>
        <v>354785</v>
      </c>
      <c r="T19" s="61">
        <f>+[1]population!M19</f>
        <v>352195</v>
      </c>
      <c r="U19" s="61">
        <f t="shared" si="1"/>
        <v>2590</v>
      </c>
      <c r="V19" s="47">
        <v>1.8420176365222973</v>
      </c>
      <c r="W19" s="79">
        <f t="shared" si="4"/>
        <v>1.9110768380496523E-2</v>
      </c>
      <c r="X19" s="46">
        <v>3</v>
      </c>
      <c r="Y19" s="38">
        <f>+'[1]Interest Rate'!I32</f>
        <v>4.7739667253865227E-2</v>
      </c>
      <c r="Z19" s="2">
        <f ca="1">+'[1]Interest Rate'!K32</f>
        <v>3.0000620694498248</v>
      </c>
      <c r="AE19">
        <f t="shared" si="2"/>
        <v>558.11953201704307</v>
      </c>
      <c r="AF19">
        <f>[2]Data!AM15</f>
        <v>423.08046614801464</v>
      </c>
      <c r="AM19" s="8"/>
      <c r="AN19" s="5"/>
      <c r="AO19" s="38"/>
    </row>
    <row r="20" spans="1:41" x14ac:dyDescent="0.25">
      <c r="A20" s="39">
        <v>2010</v>
      </c>
      <c r="B20" s="50"/>
      <c r="C20" s="48"/>
      <c r="D20" s="49"/>
      <c r="E20" s="61"/>
      <c r="F20" s="47"/>
      <c r="G20" s="50">
        <f>+Data!F20</f>
        <v>45336</v>
      </c>
      <c r="H20" s="48">
        <f>+'[1]GSP-SFD'!E24</f>
        <v>45335</v>
      </c>
      <c r="I20" s="49">
        <v>2.5399769298622532</v>
      </c>
      <c r="J20" s="53"/>
      <c r="K20" s="53"/>
      <c r="L20" s="47"/>
      <c r="M20" s="79"/>
      <c r="N20" s="50">
        <f>+Data!J20</f>
        <v>200195.69763333333</v>
      </c>
      <c r="O20" s="48">
        <f>+[1]employment!I16*1000</f>
        <v>149597.83708333332</v>
      </c>
      <c r="P20" s="81">
        <f t="shared" si="0"/>
        <v>0.74725800230396522</v>
      </c>
      <c r="Q20" s="49">
        <v>1.1025870328554843</v>
      </c>
      <c r="R20" s="79">
        <f t="shared" si="3"/>
        <v>3.9663438854276034E-3</v>
      </c>
      <c r="S20" s="61">
        <f>+Data!L20</f>
        <v>361766</v>
      </c>
      <c r="T20" s="61">
        <f>+[1]population!M20</f>
        <v>359074</v>
      </c>
      <c r="U20" s="61">
        <f t="shared" si="1"/>
        <v>2692</v>
      </c>
      <c r="V20" s="47">
        <v>1.9676705610440104</v>
      </c>
      <c r="W20" s="79">
        <f t="shared" si="4"/>
        <v>1.953179346668743E-2</v>
      </c>
      <c r="X20" s="46">
        <v>4.5</v>
      </c>
      <c r="Y20" s="38">
        <f>+'[1]Interest Rate'!I33</f>
        <v>3.6752976190476197E-2</v>
      </c>
      <c r="Z20" s="2">
        <f ca="1">+'[1]Interest Rate'!K33</f>
        <v>4.5</v>
      </c>
      <c r="AE20">
        <f t="shared" si="2"/>
        <v>553.38450167603742</v>
      </c>
      <c r="AF20">
        <f>[2]Data!AM16</f>
        <v>416.62118973619175</v>
      </c>
      <c r="AM20" s="8"/>
      <c r="AN20" s="5"/>
      <c r="AO20" s="38"/>
    </row>
    <row r="21" spans="1:41" x14ac:dyDescent="0.25">
      <c r="A21" s="39">
        <v>2011</v>
      </c>
      <c r="B21" s="50"/>
      <c r="C21" s="48"/>
      <c r="D21" s="49"/>
      <c r="E21" s="61"/>
      <c r="F21" s="47"/>
      <c r="G21" s="50">
        <f>+Data!F21</f>
        <v>46951</v>
      </c>
      <c r="H21" s="48">
        <f>+'[1]GSP-SFD'!E25</f>
        <v>46953</v>
      </c>
      <c r="I21" s="49">
        <v>3.5622904535027367</v>
      </c>
      <c r="J21" s="53"/>
      <c r="K21" s="53"/>
      <c r="L21" s="47"/>
      <c r="M21" s="79"/>
      <c r="N21" s="50">
        <f>+Data!J21</f>
        <v>204846.06036666664</v>
      </c>
      <c r="O21" s="48">
        <f>+[1]employment!I17*1000</f>
        <v>152856.19632500003</v>
      </c>
      <c r="P21" s="81">
        <f t="shared" si="0"/>
        <v>0.74620032258073821</v>
      </c>
      <c r="Q21" s="49">
        <v>2.3229084282573531</v>
      </c>
      <c r="R21" s="79">
        <f t="shared" si="3"/>
        <v>2.1780791121008169E-2</v>
      </c>
      <c r="S21" s="61">
        <f>+Data!L21</f>
        <v>367985</v>
      </c>
      <c r="T21" s="61">
        <f>+[1]population!M21</f>
        <v>365598.25</v>
      </c>
      <c r="U21" s="61">
        <f t="shared" si="1"/>
        <v>2386.75</v>
      </c>
      <c r="V21" s="47">
        <v>1.7190670212236636</v>
      </c>
      <c r="W21" s="79">
        <f t="shared" si="4"/>
        <v>1.8169653052017232E-2</v>
      </c>
      <c r="X21" s="46">
        <v>4.75</v>
      </c>
      <c r="Y21" s="38">
        <f>+'[1]Interest Rate'!I34</f>
        <v>4.6647916666666664E-2</v>
      </c>
      <c r="Z21" s="2">
        <f ca="1">+'[1]Interest Rate'!K34</f>
        <v>4.75</v>
      </c>
      <c r="AE21">
        <f t="shared" si="2"/>
        <v>556.66959350698164</v>
      </c>
      <c r="AF21">
        <f>[2]Data!AM17</f>
        <v>418.098818375088</v>
      </c>
      <c r="AM21" s="8"/>
      <c r="AN21" s="5"/>
      <c r="AO21" s="38"/>
    </row>
    <row r="22" spans="1:41" x14ac:dyDescent="0.25">
      <c r="A22" s="60">
        <v>2012</v>
      </c>
      <c r="B22" s="50"/>
      <c r="C22" s="48"/>
      <c r="D22" s="55"/>
      <c r="E22" s="61"/>
      <c r="F22" s="57"/>
      <c r="G22" s="50">
        <f>+Data!F22</f>
        <v>48931</v>
      </c>
      <c r="H22" s="48">
        <f>+'[1]GSP-SFD'!E26</f>
        <v>48652</v>
      </c>
      <c r="I22" s="55">
        <v>4.2171625737470908</v>
      </c>
      <c r="J22" s="53"/>
      <c r="K22" s="53"/>
      <c r="L22" s="47"/>
      <c r="M22" s="79"/>
      <c r="N22" s="50">
        <f>+Data!J22</f>
        <v>205957.59366666665</v>
      </c>
      <c r="O22" s="48">
        <f>+[1]employment!I18*1000</f>
        <v>153631.07069166668</v>
      </c>
      <c r="P22" s="81">
        <f t="shared" si="0"/>
        <v>0.74593545184020671</v>
      </c>
      <c r="Q22" s="55">
        <v>0.54261883192208149</v>
      </c>
      <c r="R22" s="79">
        <f t="shared" si="3"/>
        <v>5.0693029481063689E-3</v>
      </c>
      <c r="S22" s="61">
        <f>+Data!L22</f>
        <v>374912</v>
      </c>
      <c r="T22" s="61">
        <f>+[1]population!M22</f>
        <v>372346</v>
      </c>
      <c r="U22" s="61">
        <f t="shared" si="1"/>
        <v>2566</v>
      </c>
      <c r="V22" s="47">
        <v>1.8824136853404339</v>
      </c>
      <c r="W22" s="79">
        <f t="shared" si="4"/>
        <v>1.8456734954283904E-2</v>
      </c>
      <c r="X22" s="46">
        <v>3.5</v>
      </c>
      <c r="Y22" s="38">
        <f>+'[1]Interest Rate'!I35</f>
        <v>4.3435416666666671E-2</v>
      </c>
      <c r="Z22" s="2">
        <f ca="1">+'[1]Interest Rate'!K35</f>
        <v>3.5375000000000001</v>
      </c>
      <c r="AE22">
        <f t="shared" si="2"/>
        <v>549.34916371486281</v>
      </c>
      <c r="AF22">
        <f>[2]Data!AM18</f>
        <v>412.60298403008676</v>
      </c>
      <c r="AM22" s="8"/>
      <c r="AN22" s="5"/>
      <c r="AO22" s="38"/>
    </row>
    <row r="23" spans="1:41" x14ac:dyDescent="0.25">
      <c r="A23" s="58" t="s">
        <v>59</v>
      </c>
      <c r="B23" s="50"/>
      <c r="C23" s="48"/>
      <c r="D23" s="55"/>
      <c r="E23" s="61"/>
      <c r="F23" s="57"/>
      <c r="G23" s="50">
        <f>+Data!F23</f>
        <v>49919</v>
      </c>
      <c r="H23" s="48">
        <f>+'[1]GSP-SFD'!E27</f>
        <v>50412.47852107427</v>
      </c>
      <c r="I23" s="55">
        <v>2.0191698514234302</v>
      </c>
      <c r="J23" s="53"/>
      <c r="K23" s="53"/>
      <c r="L23" s="47"/>
      <c r="M23" s="79"/>
      <c r="N23" s="50">
        <f>+Data!J23</f>
        <v>209501.33909166662</v>
      </c>
      <c r="O23" s="48">
        <f>+[1]employment!I19*1000</f>
        <v>155525.68510833336</v>
      </c>
      <c r="P23" s="81">
        <f t="shared" si="0"/>
        <v>0.74236129364444592</v>
      </c>
      <c r="Q23" s="55">
        <v>1.7206189691336915</v>
      </c>
      <c r="R23" s="79">
        <f t="shared" si="3"/>
        <v>1.233223467191169E-2</v>
      </c>
      <c r="S23" s="61">
        <f>+Data!L23</f>
        <v>382831.15857658518</v>
      </c>
      <c r="T23" s="61">
        <f>+[1]population!M23</f>
        <v>379446.33333333331</v>
      </c>
      <c r="U23" s="61">
        <f t="shared" si="1"/>
        <v>3384.8252432518639</v>
      </c>
      <c r="V23" s="47">
        <v>2.112271300087798</v>
      </c>
      <c r="W23" s="79">
        <f t="shared" si="4"/>
        <v>1.9069181173782646E-2</v>
      </c>
      <c r="X23" s="46">
        <v>2.75</v>
      </c>
      <c r="Y23" s="38">
        <f>+'[1]Interest Rate'!I36</f>
        <v>3.1337499999999997E-2</v>
      </c>
      <c r="Z23" s="2">
        <f ca="1">+'[1]Interest Rate'!K36</f>
        <v>2.75</v>
      </c>
      <c r="AE23">
        <f t="shared" si="2"/>
        <v>547.24213115416001</v>
      </c>
      <c r="AF23">
        <f>[2]Data!AM19</f>
        <v>409.87531422976821</v>
      </c>
      <c r="AM23" s="8"/>
      <c r="AN23" s="5"/>
      <c r="AO23" s="38"/>
    </row>
    <row r="24" spans="1:41" ht="45" customHeight="1" x14ac:dyDescent="0.25">
      <c r="A24" s="43" t="s">
        <v>58</v>
      </c>
      <c r="B24" s="50"/>
      <c r="C24" s="78"/>
      <c r="D24" s="49"/>
      <c r="E24" s="61"/>
      <c r="F24" s="47"/>
      <c r="G24" s="50">
        <f>+Data!F24</f>
        <v>50883.822487920152</v>
      </c>
      <c r="H24" s="78">
        <f t="shared" ref="H24:H29" si="5">G24</f>
        <v>50883.822487920152</v>
      </c>
      <c r="I24" s="49">
        <v>-0.54296948182643856</v>
      </c>
      <c r="J24" s="53"/>
      <c r="K24" s="82"/>
      <c r="L24" s="47"/>
      <c r="M24" s="79"/>
      <c r="N24" s="50">
        <f>+Data!J24</f>
        <v>210690.99690652013</v>
      </c>
      <c r="O24" s="78">
        <f t="shared" ref="O24:O29" si="6">N24*AVERAGE($P$10:$P$23)</f>
        <v>157100.99545062435</v>
      </c>
      <c r="P24" s="81">
        <f t="shared" si="0"/>
        <v>0.74564645740571101</v>
      </c>
      <c r="Q24" s="49">
        <v>-0.60139925515374504</v>
      </c>
      <c r="R24" s="79">
        <f t="shared" si="3"/>
        <v>1.0128940060246006E-2</v>
      </c>
      <c r="S24" s="61">
        <f>+Data!L24</f>
        <v>387782.53040588758</v>
      </c>
      <c r="T24" s="78">
        <f t="shared" ref="T24:T29" si="7">S24-$U$23</f>
        <v>384397.70516263571</v>
      </c>
      <c r="U24" s="48"/>
      <c r="V24" s="47">
        <v>1.1946770701210201</v>
      </c>
      <c r="W24" s="83"/>
      <c r="X24" s="46">
        <v>2.5</v>
      </c>
      <c r="Y24" s="74">
        <f t="shared" ref="Y24:Y29" si="8">AVERAGE(X23:X24)/100</f>
        <v>2.6249999999999999E-2</v>
      </c>
      <c r="AC24" s="4"/>
      <c r="AE24">
        <f t="shared" si="2"/>
        <v>543.32255938913045</v>
      </c>
      <c r="AF24" s="4">
        <f t="shared" ref="AF24:AF29" si="9">AE24*P24</f>
        <v>405.12654163710914</v>
      </c>
      <c r="AI24" s="4"/>
      <c r="AL24" s="4"/>
      <c r="AM24" s="8"/>
      <c r="AN24" s="5"/>
      <c r="AO24" s="38"/>
    </row>
    <row r="25" spans="1:41" x14ac:dyDescent="0.25">
      <c r="A25" s="39">
        <v>2015</v>
      </c>
      <c r="B25" s="50"/>
      <c r="C25" s="78"/>
      <c r="D25" s="49"/>
      <c r="E25" s="61"/>
      <c r="F25" s="47"/>
      <c r="G25" s="50">
        <f>+Data!F25</f>
        <v>51202.920984819226</v>
      </c>
      <c r="H25" s="78">
        <f t="shared" si="5"/>
        <v>51202.920984819226</v>
      </c>
      <c r="I25" s="49">
        <v>0.31391816243517834</v>
      </c>
      <c r="J25" s="53"/>
      <c r="K25" s="82"/>
      <c r="L25" s="47"/>
      <c r="M25" s="79"/>
      <c r="N25" s="50">
        <f>+Data!J25</f>
        <v>209625.2066710644</v>
      </c>
      <c r="O25" s="78">
        <f t="shared" si="6"/>
        <v>156306.29273721919</v>
      </c>
      <c r="P25" s="81">
        <f t="shared" si="0"/>
        <v>0.74564645740571101</v>
      </c>
      <c r="Q25" s="49">
        <v>-1.1384075727176035</v>
      </c>
      <c r="R25" s="79">
        <f t="shared" si="3"/>
        <v>-5.0585466446323446E-3</v>
      </c>
      <c r="S25" s="61">
        <f>+Data!L25</f>
        <v>392506.10300429165</v>
      </c>
      <c r="T25" s="78">
        <f t="shared" si="7"/>
        <v>389121.27776103979</v>
      </c>
      <c r="U25" s="61"/>
      <c r="V25" s="47">
        <v>0.82506185819961597</v>
      </c>
      <c r="W25" s="83"/>
      <c r="X25" s="46">
        <v>2.75</v>
      </c>
      <c r="Y25" s="74">
        <f t="shared" si="8"/>
        <v>2.6249999999999999E-2</v>
      </c>
      <c r="AC25" s="4"/>
      <c r="AE25">
        <f t="shared" si="2"/>
        <v>534.06865540832712</v>
      </c>
      <c r="AF25" s="4">
        <f t="shared" si="9"/>
        <v>398.22640091665056</v>
      </c>
      <c r="AI25" s="4"/>
      <c r="AL25" s="4"/>
      <c r="AM25" s="8"/>
      <c r="AN25" s="5"/>
      <c r="AO25" s="38"/>
    </row>
    <row r="26" spans="1:41" x14ac:dyDescent="0.25">
      <c r="A26" s="39">
        <v>2016</v>
      </c>
      <c r="B26" s="50"/>
      <c r="C26" s="78"/>
      <c r="D26" s="49"/>
      <c r="E26" s="61"/>
      <c r="F26" s="47"/>
      <c r="G26" s="50">
        <f>+Data!F26</f>
        <v>51933.876685394367</v>
      </c>
      <c r="H26" s="78">
        <f t="shared" si="5"/>
        <v>51933.876685394367</v>
      </c>
      <c r="I26" s="49">
        <v>2.4660534242400889</v>
      </c>
      <c r="J26" s="53"/>
      <c r="K26" s="82"/>
      <c r="L26" s="47"/>
      <c r="M26" s="79"/>
      <c r="N26" s="50">
        <f>+Data!J26</f>
        <v>210950.29772740998</v>
      </c>
      <c r="O26" s="78">
        <f t="shared" si="6"/>
        <v>157294.34218912327</v>
      </c>
      <c r="P26" s="81">
        <f t="shared" si="0"/>
        <v>0.74564645740571101</v>
      </c>
      <c r="Q26" s="49">
        <v>1.6179831586952798</v>
      </c>
      <c r="R26" s="79">
        <f t="shared" si="3"/>
        <v>6.3212391171298954E-3</v>
      </c>
      <c r="S26" s="61">
        <f>+Data!L26</f>
        <v>396760.02784912591</v>
      </c>
      <c r="T26" s="78">
        <f t="shared" si="7"/>
        <v>393375.20260587404</v>
      </c>
      <c r="U26" s="61"/>
      <c r="V26" s="47">
        <v>0.83629878719424511</v>
      </c>
      <c r="W26" s="83"/>
      <c r="X26" s="46">
        <v>3.5</v>
      </c>
      <c r="Y26" s="74">
        <f t="shared" si="8"/>
        <v>3.125E-2</v>
      </c>
      <c r="AC26" s="4"/>
      <c r="AE26">
        <f t="shared" si="2"/>
        <v>531.68233420839226</v>
      </c>
      <c r="AF26" s="4">
        <f t="shared" si="9"/>
        <v>396.44704896768695</v>
      </c>
      <c r="AI26" s="4"/>
      <c r="AL26" s="4"/>
      <c r="AM26" s="8"/>
      <c r="AN26" s="5"/>
      <c r="AO26" s="38"/>
    </row>
    <row r="27" spans="1:41" x14ac:dyDescent="0.25">
      <c r="A27" s="39">
        <v>2017</v>
      </c>
      <c r="B27" s="50"/>
      <c r="C27" s="78"/>
      <c r="D27" s="49"/>
      <c r="E27" s="61"/>
      <c r="F27" s="47"/>
      <c r="G27" s="50">
        <f>+Data!F27</f>
        <v>53884.493285549739</v>
      </c>
      <c r="H27" s="78">
        <f t="shared" si="5"/>
        <v>53884.493285549739</v>
      </c>
      <c r="I27" s="49">
        <v>3.5769817341790411</v>
      </c>
      <c r="J27" s="53"/>
      <c r="K27" s="82"/>
      <c r="L27" s="47"/>
      <c r="M27" s="79"/>
      <c r="N27" s="50">
        <f>+Data!J27</f>
        <v>216680.73079758018</v>
      </c>
      <c r="O27" s="78">
        <f t="shared" si="6"/>
        <v>161567.21930729621</v>
      </c>
      <c r="P27" s="81">
        <f t="shared" si="0"/>
        <v>0.74564645740571101</v>
      </c>
      <c r="Q27" s="49">
        <v>2.890284139599486</v>
      </c>
      <c r="R27" s="79">
        <f t="shared" si="3"/>
        <v>2.7164849407205205E-2</v>
      </c>
      <c r="S27" s="61">
        <f>+Data!L27</f>
        <v>401369.19907166046</v>
      </c>
      <c r="T27" s="78">
        <f t="shared" si="7"/>
        <v>397984.3738284086</v>
      </c>
      <c r="U27" s="61"/>
      <c r="V27" s="47">
        <v>1.0494589333151838</v>
      </c>
      <c r="W27" s="83"/>
      <c r="X27" s="46">
        <v>4</v>
      </c>
      <c r="Y27" s="74">
        <f t="shared" si="8"/>
        <v>3.7499999999999999E-2</v>
      </c>
      <c r="AC27" s="4"/>
      <c r="AE27">
        <f t="shared" si="2"/>
        <v>539.85390831869483</v>
      </c>
      <c r="AF27" s="4">
        <f t="shared" si="9"/>
        <v>402.54015425446232</v>
      </c>
      <c r="AI27" s="4"/>
      <c r="AL27" s="4"/>
      <c r="AM27" s="8"/>
      <c r="AN27" s="5"/>
      <c r="AO27" s="38"/>
    </row>
    <row r="28" spans="1:41" x14ac:dyDescent="0.25">
      <c r="A28" s="39">
        <v>2018</v>
      </c>
      <c r="B28" s="50"/>
      <c r="C28" s="78"/>
      <c r="D28" s="49"/>
      <c r="E28" s="61"/>
      <c r="F28" s="47"/>
      <c r="G28" s="50">
        <f>+Data!F28</f>
        <v>55930.513395273621</v>
      </c>
      <c r="H28" s="78">
        <f t="shared" si="5"/>
        <v>55930.513395273621</v>
      </c>
      <c r="I28" s="49">
        <v>4.0797022218738821</v>
      </c>
      <c r="J28" s="53"/>
      <c r="K28" s="82"/>
      <c r="L28" s="47"/>
      <c r="M28" s="79"/>
      <c r="N28" s="50">
        <f>+Data!J28</f>
        <v>222421.54872522652</v>
      </c>
      <c r="O28" s="78">
        <f t="shared" si="6"/>
        <v>165847.83985765689</v>
      </c>
      <c r="P28" s="81">
        <f t="shared" si="0"/>
        <v>0.74564645740571101</v>
      </c>
      <c r="Q28" s="49">
        <v>2.8994576394198779</v>
      </c>
      <c r="R28" s="79">
        <f t="shared" si="3"/>
        <v>2.6494362957494744E-2</v>
      </c>
      <c r="S28" s="61">
        <f>+Data!L28</f>
        <v>406482.13775635749</v>
      </c>
      <c r="T28" s="78">
        <f t="shared" si="7"/>
        <v>403097.31251310563</v>
      </c>
      <c r="U28" s="61"/>
      <c r="V28" s="47">
        <v>1.0247587867870944</v>
      </c>
      <c r="W28" s="83"/>
      <c r="X28" s="46">
        <v>3.25</v>
      </c>
      <c r="Y28" s="74">
        <f t="shared" si="8"/>
        <v>3.6249999999999998E-2</v>
      </c>
      <c r="AC28" s="4"/>
      <c r="AE28">
        <f t="shared" si="2"/>
        <v>547.18652571775351</v>
      </c>
      <c r="AF28" s="4">
        <f t="shared" si="9"/>
        <v>408.00769444158186</v>
      </c>
      <c r="AI28" s="4"/>
      <c r="AL28" s="4"/>
      <c r="AM28" s="8"/>
      <c r="AN28" s="5"/>
      <c r="AO28" s="38"/>
    </row>
    <row r="29" spans="1:41" x14ac:dyDescent="0.25">
      <c r="A29" s="36">
        <v>2019</v>
      </c>
      <c r="B29" s="50"/>
      <c r="C29" s="78"/>
      <c r="D29" s="80"/>
      <c r="E29" s="61"/>
      <c r="F29" s="51"/>
      <c r="G29" s="50">
        <f>+Data!F29</f>
        <v>57507.177619645852</v>
      </c>
      <c r="H29" s="78">
        <f t="shared" si="5"/>
        <v>57507.177619645852</v>
      </c>
      <c r="I29" s="80">
        <v>3.2271661579447164</v>
      </c>
      <c r="J29" s="53"/>
      <c r="K29" s="82"/>
      <c r="L29" s="51"/>
      <c r="M29" s="79"/>
      <c r="N29" s="50">
        <f>+Data!J29</f>
        <v>226699.6923590012</v>
      </c>
      <c r="O29" s="78">
        <f t="shared" si="6"/>
        <v>169037.82250245378</v>
      </c>
      <c r="P29" s="81">
        <f t="shared" si="0"/>
        <v>0.74564645740571101</v>
      </c>
      <c r="Q29" s="80">
        <v>1.7215110307417625</v>
      </c>
      <c r="R29" s="79">
        <f t="shared" si="3"/>
        <v>1.9234393692041829E-2</v>
      </c>
      <c r="S29" s="61">
        <f>+Data!L29</f>
        <v>411702.45317103737</v>
      </c>
      <c r="T29" s="78">
        <f t="shared" si="7"/>
        <v>408317.62792778551</v>
      </c>
      <c r="U29" s="77"/>
      <c r="V29" s="51">
        <v>1.2544715347279745</v>
      </c>
      <c r="W29" s="76"/>
      <c r="X29" s="75">
        <v>3.75</v>
      </c>
      <c r="Y29" s="74">
        <f t="shared" si="8"/>
        <v>3.5000000000000003E-2</v>
      </c>
      <c r="AC29" s="4"/>
      <c r="AE29">
        <f t="shared" si="2"/>
        <v>550.63964426955022</v>
      </c>
      <c r="AF29" s="4">
        <f t="shared" si="9"/>
        <v>410.58250005673102</v>
      </c>
      <c r="AI29" s="4"/>
      <c r="AL29" s="4"/>
      <c r="AM29" s="8"/>
      <c r="AN29" s="5"/>
      <c r="AO29" s="38"/>
    </row>
    <row r="30" spans="1:41" x14ac:dyDescent="0.25">
      <c r="A30" s="39"/>
      <c r="J30" s="3"/>
      <c r="K30" s="3"/>
    </row>
    <row r="31" spans="1:41" x14ac:dyDescent="0.25">
      <c r="A31" s="33" t="s">
        <v>57</v>
      </c>
      <c r="J31" s="3"/>
      <c r="K31" s="3"/>
    </row>
    <row r="32" spans="1:41" x14ac:dyDescent="0.25">
      <c r="A32" s="33" t="s">
        <v>48</v>
      </c>
    </row>
    <row r="36" spans="2:16" x14ac:dyDescent="0.25">
      <c r="B36" s="73"/>
      <c r="C36" s="73"/>
      <c r="D36" s="73"/>
      <c r="F36" s="8"/>
      <c r="G36" s="8"/>
      <c r="H36" s="8"/>
      <c r="J36" s="10"/>
      <c r="L36" s="5"/>
      <c r="M36" s="5"/>
      <c r="O36" s="8"/>
      <c r="P36" s="8"/>
    </row>
    <row r="37" spans="2:16" x14ac:dyDescent="0.25">
      <c r="B37" s="73"/>
      <c r="C37" s="73"/>
      <c r="D37" s="73"/>
      <c r="F37" s="8"/>
      <c r="G37" s="8"/>
      <c r="H37" s="8"/>
      <c r="J37" s="10"/>
      <c r="L37" s="5"/>
      <c r="M37" s="5"/>
      <c r="O37" s="8"/>
      <c r="P37" s="8"/>
    </row>
    <row r="38" spans="2:16" x14ac:dyDescent="0.25">
      <c r="B38" s="73"/>
      <c r="C38" s="73"/>
      <c r="D38" s="73"/>
      <c r="F38" s="8"/>
      <c r="G38" s="8"/>
      <c r="H38" s="8"/>
      <c r="J38" s="10"/>
      <c r="L38" s="5"/>
      <c r="M38" s="5"/>
      <c r="O38" s="8"/>
      <c r="P38" s="8"/>
    </row>
    <row r="39" spans="2:16" x14ac:dyDescent="0.25">
      <c r="B39" s="73"/>
      <c r="C39" s="73"/>
      <c r="D39" s="73"/>
      <c r="F39" s="8"/>
      <c r="G39" s="8"/>
      <c r="H39" s="8"/>
      <c r="J39" s="10"/>
      <c r="L39" s="5"/>
      <c r="M39" s="5"/>
      <c r="O39" s="8"/>
      <c r="P39" s="8"/>
    </row>
    <row r="40" spans="2:16" x14ac:dyDescent="0.25">
      <c r="B40" s="73"/>
      <c r="C40" s="73"/>
      <c r="D40" s="73"/>
      <c r="F40" s="8"/>
      <c r="G40" s="8"/>
      <c r="H40" s="8"/>
      <c r="J40" s="10"/>
      <c r="L40" s="5"/>
      <c r="M40" s="5"/>
      <c r="O40" s="8"/>
      <c r="P40" s="8"/>
    </row>
    <row r="41" spans="2:16" x14ac:dyDescent="0.25">
      <c r="B41" s="73"/>
      <c r="C41" s="73"/>
      <c r="D41" s="73"/>
      <c r="F41" s="8"/>
      <c r="G41" s="8"/>
      <c r="H41" s="8"/>
      <c r="J41" s="10"/>
      <c r="L41" s="5"/>
      <c r="M41" s="5"/>
      <c r="O41" s="8"/>
      <c r="P41" s="8"/>
    </row>
    <row r="42" spans="2:16" x14ac:dyDescent="0.25">
      <c r="B42" s="73"/>
      <c r="C42" s="73"/>
      <c r="D42" s="73"/>
      <c r="F42" s="8"/>
      <c r="G42" s="8"/>
      <c r="H42" s="8"/>
      <c r="J42" s="10"/>
      <c r="L42" s="5"/>
      <c r="M42" s="5"/>
      <c r="O42" s="8"/>
      <c r="P42" s="8"/>
    </row>
    <row r="43" spans="2:16" x14ac:dyDescent="0.25">
      <c r="B43" s="73"/>
      <c r="C43" s="73"/>
      <c r="D43" s="73"/>
      <c r="F43" s="8"/>
      <c r="G43" s="8"/>
      <c r="H43" s="8"/>
      <c r="J43" s="10"/>
      <c r="L43" s="5"/>
      <c r="M43" s="5"/>
      <c r="O43" s="8"/>
      <c r="P43" s="8"/>
    </row>
    <row r="44" spans="2:16" x14ac:dyDescent="0.25">
      <c r="B44" s="73"/>
      <c r="C44" s="73"/>
      <c r="D44" s="73"/>
      <c r="F44" s="8"/>
      <c r="G44" s="8"/>
      <c r="H44" s="8"/>
      <c r="J44" s="10"/>
      <c r="L44" s="5"/>
      <c r="M44" s="5"/>
      <c r="O44" s="8"/>
      <c r="P44" s="8"/>
    </row>
    <row r="45" spans="2:16" x14ac:dyDescent="0.25">
      <c r="B45" s="73"/>
      <c r="C45" s="73"/>
      <c r="D45" s="73"/>
      <c r="F45" s="8"/>
      <c r="G45" s="8"/>
      <c r="H45" s="8"/>
      <c r="J45" s="10"/>
      <c r="L45" s="5"/>
      <c r="M45" s="5"/>
      <c r="O45" s="8"/>
      <c r="P45" s="8"/>
    </row>
    <row r="46" spans="2:16" x14ac:dyDescent="0.25">
      <c r="B46" s="73"/>
      <c r="C46" s="73"/>
      <c r="D46" s="73"/>
      <c r="F46" s="8"/>
      <c r="G46" s="8"/>
      <c r="H46" s="8"/>
      <c r="J46" s="10"/>
      <c r="L46" s="5"/>
      <c r="M46" s="5"/>
      <c r="O46" s="8"/>
      <c r="P46" s="8"/>
    </row>
  </sheetData>
  <mergeCells count="6">
    <mergeCell ref="S2:V2"/>
    <mergeCell ref="B2:D2"/>
    <mergeCell ref="E2:F2"/>
    <mergeCell ref="G2:I2"/>
    <mergeCell ref="J2:L2"/>
    <mergeCell ref="N2:Q2"/>
  </mergeCells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32A70C922B6143BA1C1EFF719AB478" ma:contentTypeVersion="0" ma:contentTypeDescription="Create a new document." ma:contentTypeScope="" ma:versionID="78d2db27aa790d55cba1ee79a31150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20396B-2CC8-422C-BEE4-E18081BA177E}"/>
</file>

<file path=customXml/itemProps2.xml><?xml version="1.0" encoding="utf-8"?>
<ds:datastoreItem xmlns:ds="http://schemas.openxmlformats.org/officeDocument/2006/customXml" ds:itemID="{BF87C074-BEFE-4EEE-BDC7-B9DCA8843609}"/>
</file>

<file path=customXml/itemProps3.xml><?xml version="1.0" encoding="utf-8"?>
<ds:datastoreItem xmlns:ds="http://schemas.openxmlformats.org/officeDocument/2006/customXml" ds:itemID="{38544FCE-6296-4148-BCE4-60E3986F83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Preferred</vt:lpstr>
      <vt:lpstr>All Sectors</vt:lpstr>
      <vt:lpstr>Residential Per Pers</vt:lpstr>
      <vt:lpstr>LV</vt:lpstr>
      <vt:lpstr>HV</vt:lpstr>
      <vt:lpstr>OP</vt:lpstr>
      <vt:lpstr>Updated forecasts</vt:lpstr>
      <vt:lpstr>Data</vt:lpstr>
      <vt:lpstr>Data BIS V SKM</vt:lpstr>
    </vt:vector>
  </TitlesOfParts>
  <Company>Sinclair Knight Merz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rlewis</dc:creator>
  <cp:lastModifiedBy>bjmcnair</cp:lastModifiedBy>
  <dcterms:created xsi:type="dcterms:W3CDTF">2013-11-08T05:35:31Z</dcterms:created>
  <dcterms:modified xsi:type="dcterms:W3CDTF">2015-01-19T23:21:24Z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0x010100A732A70C922B6143BA1C1EFF719AB478</vt:lpwstr>
  </property>
</Properties>
</file>