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14EDC7D9-1F0E-4D5E-A2C4-7C2101FF2DF5}" xr6:coauthVersionLast="41" xr6:coauthVersionMax="41" xr10:uidLastSave="{00000000-0000-0000-0000-000000000000}"/>
  <bookViews>
    <workbookView xWindow="28680" yWindow="-120" windowWidth="29040" windowHeight="15840" tabRatio="691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</externalReferences>
  <definedNames>
    <definedName name="Nominal_to_Real">'[1]Input|Rate of change'!$C$23:$C$26</definedName>
    <definedName name="percent" localSheetId="6">'[1]Lookup|Tables'!$G$14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G13" i="13"/>
  <c r="G15" i="13"/>
  <c r="D10" i="4"/>
  <c r="H23" i="3"/>
  <c r="G22" i="13"/>
  <c r="D9" i="4"/>
  <c r="D11" i="4"/>
  <c r="D12" i="4"/>
  <c r="K13" i="13"/>
  <c r="K22" i="13"/>
  <c r="H9" i="4"/>
  <c r="G19" i="4"/>
  <c r="J13" i="13"/>
  <c r="J22" i="13"/>
  <c r="G9" i="4"/>
  <c r="F19" i="4"/>
  <c r="I13" i="13"/>
  <c r="I22" i="13"/>
  <c r="F9" i="4"/>
  <c r="E19" i="4"/>
  <c r="H13" i="13"/>
  <c r="H22" i="13"/>
  <c r="E9" i="4"/>
  <c r="D19" i="4"/>
  <c r="D20" i="4"/>
  <c r="I12" i="3"/>
  <c r="H15" i="13"/>
  <c r="E10" i="4"/>
  <c r="I23" i="3"/>
  <c r="E11" i="4"/>
  <c r="E12" i="4"/>
  <c r="E20" i="4"/>
  <c r="J12" i="3"/>
  <c r="I15" i="13"/>
  <c r="F10" i="4"/>
  <c r="J23" i="3"/>
  <c r="F11" i="4"/>
  <c r="F12" i="4"/>
  <c r="F20" i="4"/>
  <c r="K12" i="3"/>
  <c r="J15" i="13"/>
  <c r="G10" i="4"/>
  <c r="K23" i="3"/>
  <c r="G11" i="4"/>
  <c r="G12" i="4"/>
  <c r="G20" i="4"/>
  <c r="L12" i="3"/>
  <c r="K15" i="13"/>
  <c r="H10" i="4"/>
  <c r="L23" i="3"/>
  <c r="H11" i="4"/>
  <c r="H12" i="4"/>
  <c r="H20" i="4"/>
  <c r="G10" i="13"/>
  <c r="H10" i="13"/>
  <c r="I10" i="13"/>
  <c r="J10" i="13"/>
  <c r="K10" i="13"/>
  <c r="L10" i="13"/>
  <c r="H30" i="3"/>
  <c r="L13" i="13"/>
  <c r="L15" i="13"/>
  <c r="M14" i="13"/>
  <c r="H31" i="3"/>
  <c r="D26" i="4"/>
  <c r="M22" i="13"/>
  <c r="D25" i="4"/>
  <c r="L22" i="13"/>
  <c r="D27" i="4"/>
  <c r="D28" i="4"/>
  <c r="M10" i="13"/>
  <c r="N9" i="13"/>
  <c r="I30" i="3"/>
  <c r="M15" i="13"/>
  <c r="N14" i="13"/>
  <c r="I31" i="3"/>
  <c r="E26" i="4"/>
  <c r="N22" i="13"/>
  <c r="E25" i="4"/>
  <c r="E27" i="4"/>
  <c r="E28" i="4"/>
  <c r="N10" i="13"/>
  <c r="O9" i="13"/>
  <c r="J30" i="3"/>
  <c r="N15" i="13"/>
  <c r="O14" i="13"/>
  <c r="J31" i="3"/>
  <c r="F26" i="4"/>
  <c r="O22" i="13"/>
  <c r="F25" i="4"/>
  <c r="F27" i="4"/>
  <c r="F28" i="4"/>
  <c r="O10" i="13"/>
  <c r="P9" i="13"/>
  <c r="K30" i="3"/>
  <c r="O15" i="13"/>
  <c r="P14" i="13"/>
  <c r="K31" i="3"/>
  <c r="G26" i="4"/>
  <c r="P22" i="13"/>
  <c r="G25" i="4"/>
  <c r="G27" i="4"/>
  <c r="G28" i="4"/>
  <c r="P10" i="13"/>
  <c r="Q9" i="13"/>
  <c r="L30" i="3"/>
  <c r="P15" i="13"/>
  <c r="Q14" i="13"/>
  <c r="L31" i="3"/>
  <c r="H26" i="4"/>
  <c r="Q22" i="13"/>
  <c r="H25" i="4"/>
  <c r="H27" i="4"/>
  <c r="H28" i="4"/>
  <c r="D31" i="4"/>
  <c r="D34" i="4"/>
  <c r="D21" i="4"/>
  <c r="E8" i="4"/>
  <c r="E13" i="4"/>
  <c r="E18" i="4"/>
  <c r="E21" i="4"/>
  <c r="F8" i="4"/>
  <c r="F13" i="4"/>
  <c r="F14" i="4"/>
  <c r="F18" i="4"/>
  <c r="F21" i="4"/>
  <c r="G8" i="4"/>
  <c r="G13" i="4"/>
  <c r="G14" i="4"/>
  <c r="G15" i="4"/>
  <c r="G18" i="4"/>
  <c r="G21" i="4"/>
  <c r="H8" i="4"/>
  <c r="H13" i="4"/>
  <c r="H14" i="4"/>
  <c r="H15" i="4"/>
  <c r="H16" i="4"/>
  <c r="H18" i="4"/>
  <c r="H21" i="4"/>
  <c r="D35" i="4"/>
  <c r="D36" i="4"/>
  <c r="D37" i="4"/>
  <c r="D42" i="4"/>
  <c r="E42" i="4"/>
  <c r="F42" i="4"/>
  <c r="G42" i="4"/>
  <c r="H42" i="4"/>
  <c r="D43" i="4"/>
  <c r="J8" i="10"/>
  <c r="E43" i="4"/>
  <c r="K8" i="10"/>
  <c r="F43" i="4"/>
  <c r="L8" i="10"/>
  <c r="G43" i="4"/>
  <c r="M8" i="10"/>
  <c r="H43" i="4"/>
  <c r="N8" i="10"/>
  <c r="C43" i="4"/>
  <c r="D8" i="4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3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5" i="4"/>
  <c r="B1" i="5"/>
  <c r="B1" i="4"/>
  <c r="B1" i="10"/>
  <c r="B1" i="13"/>
  <c r="Q10" i="13"/>
  <c r="Q15" i="13"/>
  <c r="D45" i="4"/>
  <c r="O8" i="10"/>
  <c r="D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<sst xmlns="http://schemas.openxmlformats.org/spreadsheetml/2006/main" count="238" uniqueCount="127">
  <si>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</si>
  <si>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</si>
  <si>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</si>
  <si>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</si>
  <si>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</si>
  <si>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</si>
  <si>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</si>
  <si>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</si>
  <si>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</si>
  <si>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</si>
  <si>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</si>
  <si>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</si>
  <si>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</si>
  <si>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</si>
  <si>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</si>
  <si>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</si>
  <si>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</si>
  <si>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</si>
  <si>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</si>
  <si>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</si>
  <si>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</si>
  <si>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</si>
  <si>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</si>
  <si>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</si>
  <si>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</si>
  <si>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</si>
  <si>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</si>
  <si>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</si>
  <si>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</si>
  <si>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</si>
  <si>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</si>
  <si>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</si>
  <si>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</si>
  <si>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</si>
  <si>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</si>
  <si>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</si>
  <si>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</si>
  <si>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</si>
  <si>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</si>
  <si>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</si>
  <si>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</si>
  <si>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</si>
  <si>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</si>
  <si>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</si>
  <si>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</si>
  <si>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</si>
  <si>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</si>
  <si>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</si>
  <si>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</si>
  <si>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</si>
  <si>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</si>
  <si>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</si>
  <si>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</si>
  <si>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</si>
  <si>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</si>
  <si>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</si>
  <si>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</si>
  <si>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</si>
  <si>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</si>
  <si>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</si>
  <si>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</si>
  <si>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</si>
  <si>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</si>
  <si>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</si>
  <si>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</si>
  <si>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</si>
  <si>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</si>
  <si>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</si>
  <si>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</si>
  <si>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</si>
  <si>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</si>
  <si>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</si>
  <si>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</si>
  <si>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</si>
  <si>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</si>
  <si>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</si>
  <si>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</si>
  <si>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</si>
  <si>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</si>
  <si>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</si>
  <si>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</si>
  <si>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</si>
  <si>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</si>
  <si>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</si>
  <si>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</si>
  <si>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</si>
  <si>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</si>
  <si>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</si>
  <si>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</si>
  <si>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</si>
  <si>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</si>
  <si>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</si>
  <si>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</si>
  <si>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</si>
  <si>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</si>
  <si>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</si>
  <si>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2021-2021</t>
  </si>
  <si>
    <t>NPV of increase in forecast capex from deferred capex (31 December 2020)</t>
  </si>
  <si>
    <t>NPV underspend (31 December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</si>
  <si>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</si>
  <si>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</si>
  <si>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</si>
  <si>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</si>
  <si>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</si>
  <si>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</si>
  <si>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</si>
  <si>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</si>
  <si>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</si>
  <si>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</si>
  <si>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H30: L30 
H31: L31</t>
  </si>
  <si>
    <t>C20, C21, C28, C36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</si>
  <si>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</si>
  <si>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</si>
  <si>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</si>
  <si>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</si>
  <si>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</si>
  <si>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</si>
  <si>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</si>
  <si>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</si>
  <si>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JEN</t>
  </si>
  <si>
    <t>Initial Proposal</t>
  </si>
  <si>
    <t>DNSP</t>
  </si>
  <si>
    <t>2021-26</t>
  </si>
  <si>
    <t>Added the half-year regulatory year (1 Jan 2021 - 30 June 2021) and the actual CPI and WACC associated with it</t>
  </si>
  <si>
    <t>Discount factor (end of year 5)</t>
  </si>
  <si>
    <t>Labels amended to specify the timing of the NPV adjustment (not a formula adjustment)</t>
  </si>
  <si>
    <t>NPV financing benefit (31 December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</si>
</sst>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_-* #,##0_-;\-* #,##0_-;_-* &quot;-&quot;??_-;_-@_-"/>
    <numFmt numFmtId="168" formatCode="_-* #,##0.00_-;[Red]\(#,##0.00\)_-;_-* &quot;-&quot;??_-;_-@_-"/>
    <numFmt numFmtId="169" formatCode="_(#,##0_);\(#,##0\);_(&quot;-&quot;_)"/>
    <numFmt numFmtId="170" formatCode="&quot;Warning&quot;;&quot;Warning&quot;;&quot;OK&quot;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_(* #,##0_);_(* \(#,##0\);_(* &quot;-&quot;?_);_(@_)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_(#\ ##0.00_);\(#\ ##0.00\);_(&quot;-&quot;_)"/>
    <numFmt numFmtId="186" formatCode="_-* #,##0.0000_-;\-* #,##0.0000_-;_-* &quot;-&quot;??_-;_-@_-"/>
    <numFmt numFmtId="187" formatCode="#,##0.000"/>
    <numFmt numFmtId="188" formatCode="0.000"/>
    <numFmt numFmtId="189" formatCode="_(* #,##0.0_);_(* \(#,##0.0\);_(* &quot;-&quot;?_);_(@_)"/>
    <numFmt numFmtId="190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4" fillId="0" borderId="0"/>
    <xf numFmtId="168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9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0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6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5" fontId="23" fillId="5" borderId="0" applyFont="0" applyBorder="0">
      <alignment horizontal="right"/>
      <protection locked="0"/>
    </xf>
    <xf numFmtId="175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6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7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8" fontId="23" fillId="0" borderId="0" applyFill="0" applyBorder="0"/>
    <xf numFmtId="178" fontId="23" fillId="0" borderId="0" applyFill="0" applyBorder="0"/>
    <xf numFmtId="178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79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0" fontId="23" fillId="0" borderId="0"/>
    <xf numFmtId="180" fontId="23" fillId="0" borderId="0"/>
    <xf numFmtId="180" fontId="23" fillId="0" borderId="0"/>
    <xf numFmtId="181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6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4" fontId="23" fillId="0" borderId="20" applyBorder="0" applyProtection="0">
      <alignment horizontal="right"/>
    </xf>
    <xf numFmtId="184" fontId="23" fillId="0" borderId="20" applyBorder="0" applyProtection="0">
      <alignment horizontal="right"/>
    </xf>
    <xf numFmtId="184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9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0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89" fontId="23" fillId="39" borderId="0" applyFont="0" applyBorder="0">
      <alignment horizontal="right"/>
    </xf>
    <xf numFmtId="174" fontId="23" fillId="39" borderId="0" applyFont="0" applyBorder="0" applyAlignment="0"/>
    <xf numFmtId="189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89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3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6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7" fontId="17" fillId="0" borderId="0" xfId="3" applyNumberFormat="1" applyFont="1" applyProtection="1"/>
    <xf numFmtId="167" fontId="19" fillId="0" borderId="0" xfId="3" applyNumberFormat="1" applyFont="1" applyAlignment="1" applyProtection="1">
      <alignment horizontal="center"/>
    </xf>
    <xf numFmtId="167" fontId="17" fillId="0" borderId="0" xfId="3" applyNumberFormat="1" applyFont="1" applyAlignment="1" applyProtection="1">
      <alignment horizontal="center"/>
    </xf>
    <xf numFmtId="167" fontId="22" fillId="0" borderId="0" xfId="3" applyNumberFormat="1" applyFont="1" applyProtection="1"/>
    <xf numFmtId="167" fontId="21" fillId="0" borderId="0" xfId="3" applyNumberFormat="1" applyFont="1" applyAlignment="1" applyProtection="1">
      <alignment horizontal="center"/>
    </xf>
    <xf numFmtId="167" fontId="22" fillId="0" borderId="20" xfId="3" applyNumberFormat="1" applyFont="1" applyBorder="1" applyAlignment="1" applyProtection="1">
      <alignment horizontal="center"/>
    </xf>
    <xf numFmtId="167" fontId="17" fillId="0" borderId="0" xfId="3" applyNumberFormat="1" applyFont="1" applyAlignment="1" applyProtection="1">
      <alignment horizontal="left" indent="1"/>
    </xf>
    <xf numFmtId="167" fontId="13" fillId="0" borderId="0" xfId="263" applyNumberFormat="1" applyFont="1" applyAlignment="1" applyProtection="1">
      <alignment horizontal="center"/>
    </xf>
    <xf numFmtId="167" fontId="17" fillId="0" borderId="0" xfId="3" applyNumberFormat="1" applyFont="1" applyBorder="1" applyProtection="1"/>
    <xf numFmtId="185" fontId="20" fillId="0" borderId="24" xfId="55" applyNumberFormat="1" applyFont="1" applyFill="1" applyBorder="1" applyAlignment="1" applyProtection="1">
      <alignment horizontal="center" vertical="center"/>
    </xf>
    <xf numFmtId="186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7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7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7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8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6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8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0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7" fontId="22" fillId="0" borderId="0" xfId="3" applyNumberFormat="1" applyFont="1" applyBorder="1" applyAlignment="1" applyProtection="1">
      <alignment horizontal="center"/>
    </xf>
    <xf numFmtId="185" fontId="20" fillId="0" borderId="0" xfId="55" applyNumberFormat="1" applyFont="1" applyFill="1" applyBorder="1" applyAlignment="1" applyProtection="1">
      <alignment horizontal="center" vertical="center"/>
    </xf>
    <xf numFmtId="188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6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8" fontId="24" fillId="3" borderId="26" xfId="268" applyNumberFormat="1" applyFont="1" applyFill="1" applyBorder="1" applyAlignment="1">
      <alignment horizontal="center" vertical="center"/>
    </xf>
    <xf numFmtId="188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6" fontId="24" fillId="56" borderId="2" xfId="0" applyNumberFormat="1" applyFont="1" applyFill="1" applyBorder="1" applyAlignment="1">
      <alignment horizontal="right" vertical="center"/>
    </xf>
    <xf numFmtId="166" fontId="24" fillId="0" borderId="2" xfId="0" applyNumberFormat="1" applyFont="1" applyFill="1" applyBorder="1" applyAlignment="1">
      <alignment horizontal="right" vertical="center"/>
    </xf>
    <xf numFmtId="166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67" fontId="21" fillId="3" borderId="2" xfId="0" applyNumberFormat="1" applyFont="1" applyFill="1" applyBorder="1" applyAlignment="1" applyProtection="1">
      <alignment horizontal="center" vertical="center"/>
    </xf>
    <xf numFmtId="0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25" xfId="0" applyNumberFormat="1" applyFont="1" applyFill="1" applyBorder="1" applyAlignment="1" applyProtection="1">
      <alignment horizontal="center" vertical="center"/>
    </xf>
    <xf numFmtId="2" fontId="20" fillId="3" borderId="2" xfId="1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58" borderId="47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0" fontId="100" fillId="58" borderId="0" xfId="0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7" fontId="19" fillId="58" borderId="0" xfId="0" applyNumberFormat="1" applyFont="1" applyFill="1" applyBorder="1" applyAlignment="1" applyProtection="1">
      <alignment horizontal="center" vertical="center"/>
    </xf>
    <xf numFmtId="0" fontId="15" fillId="58" borderId="33" xfId="0" applyFont="1" applyFill="1" applyBorder="1" applyAlignment="1">
      <alignment horizontal="left" indent="1"/>
    </xf>
    <xf numFmtId="0" fontId="15" fillId="58" borderId="4" xfId="0" applyFont="1" applyFill="1" applyBorder="1" applyAlignment="1">
      <alignment horizontal="left" indent="1"/>
    </xf>
    <xf numFmtId="0" fontId="24" fillId="58" borderId="6" xfId="0" applyFont="1" applyFill="1" applyBorder="1" applyAlignment="1">
      <alignment horizontal="left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JEN 2021-26 Initial Proposal - Capital expenditure sharing scheme model</v>
      </c>
      <c r="D1" s="4"/>
      <c r="E1" s="4"/>
    </row>
    <row r="2" spans="2:13" ht="18" customHeight="1">
      <c r="B2" s="33" t="s">
        <v>25</v>
      </c>
    </row>
    <row r="3" spans="2:13" ht="3" customHeight="1">
      <c r="C3" s="2"/>
    </row>
    <row r="4" spans="2:13" s="8" customFormat="1" ht="12.75" customHeight="1">
      <c r="C4" s="29" t="s">
        <v>26</v>
      </c>
      <c r="D4" s="7"/>
      <c r="E4" s="7"/>
    </row>
    <row r="5" spans="2:13" ht="11.25" customHeight="1"/>
    <row r="6" spans="2:13" ht="11.25" customHeight="1">
      <c r="C6" s="31" t="s">
        <v>27</v>
      </c>
      <c r="D6" s="31" t="s">
        <v>28</v>
      </c>
      <c r="E6" s="31"/>
    </row>
    <row r="7" spans="2:13" ht="11.25" customHeight="1">
      <c r="C7" s="107" t="s">
        <v>30</v>
      </c>
      <c r="D7" s="32" t="s">
        <v>41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74</v>
      </c>
      <c r="D8" s="32" t="s">
        <v>73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50</v>
      </c>
      <c r="D9" s="32" t="s">
        <v>33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53</v>
      </c>
      <c r="D10" s="32" t="s">
        <v>34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75</v>
      </c>
      <c r="D11" s="32" t="s">
        <v>49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29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17"/>
  <sheetViews>
    <sheetView zoomScaleNormal="100" workbookViewId="0"/>
  </sheetViews>
  <sheetFormatPr defaultRowHeight="15"/>
  <cols>
    <col min="2" max="2" width="37.85546875" customWidth="1"/>
    <col min="3" max="3" width="23.5703125" customWidth="1"/>
    <col min="4" max="4" width="70.5703125" bestFit="1" customWidth="1"/>
    <col min="5" max="5" width="75.42578125" customWidth="1"/>
  </cols>
  <sheetData>
    <row r="1" spans="1:5" ht="18">
      <c r="A1" s="214" t="s">
        <v>105</v>
      </c>
      <c r="B1" s="205"/>
      <c r="C1" s="205"/>
      <c r="D1" s="205"/>
      <c r="E1" s="205"/>
    </row>
    <row r="2" spans="1:5" ht="15.75" thickBot="1">
      <c r="A2" s="205"/>
      <c r="B2" s="205"/>
      <c r="C2" s="205"/>
      <c r="D2" s="205"/>
      <c r="E2" s="205"/>
    </row>
    <row r="3" spans="1:5">
      <c r="A3" s="206" t="s">
        <v>101</v>
      </c>
      <c r="B3" s="207" t="s">
        <v>102</v>
      </c>
      <c r="C3" s="207" t="s">
        <v>103</v>
      </c>
      <c r="D3" s="208" t="s">
        <v>104</v>
      </c>
      <c r="E3" s="215"/>
    </row>
    <row r="4" spans="1:5" ht="41.1" customHeight="1">
      <c r="A4" s="204">
        <v>1</v>
      </c>
      <c r="B4" s="205" t="s">
        <v>30</v>
      </c>
      <c r="C4" s="205" t="s">
        <v>106</v>
      </c>
      <c r="D4" s="210" t="s">
        <v>107</v>
      </c>
      <c r="E4" s="215"/>
    </row>
    <row r="5" spans="1:5" ht="41.1" customHeight="1">
      <c r="A5" s="204">
        <f>A4+1</f>
        <v>2</v>
      </c>
      <c r="B5" s="205" t="s">
        <v>74</v>
      </c>
      <c r="C5" s="205" t="s">
        <v>108</v>
      </c>
      <c r="D5" s="223" t="s">
        <v>123</v>
      </c>
      <c r="E5" s="215"/>
    </row>
    <row r="6" spans="1:5" ht="41.1" customHeight="1">
      <c r="A6" s="204">
        <f>A5+1</f>
        <v>3</v>
      </c>
      <c r="B6" s="205" t="s">
        <v>50</v>
      </c>
      <c r="C6" s="209" t="s">
        <v>109</v>
      </c>
      <c r="D6" s="210" t="s">
        <v>112</v>
      </c>
      <c r="E6" s="215"/>
    </row>
    <row r="7" spans="1:5" ht="41.1" customHeight="1">
      <c r="A7" s="204">
        <f t="shared" ref="A7:A9" si="0">A6+1</f>
        <v>4</v>
      </c>
      <c r="B7" s="205" t="s">
        <v>53</v>
      </c>
      <c r="C7" s="205" t="s">
        <v>110</v>
      </c>
      <c r="D7" s="223" t="s">
        <v>125</v>
      </c>
      <c r="E7" s="215"/>
    </row>
    <row r="8" spans="1:5" ht="41.1" customHeight="1">
      <c r="A8" s="204">
        <f t="shared" si="0"/>
        <v>5</v>
      </c>
      <c r="B8" s="205" t="s">
        <v>53</v>
      </c>
      <c r="C8" s="205" t="s">
        <v>111</v>
      </c>
      <c r="D8" s="210" t="s">
        <v>112</v>
      </c>
      <c r="E8" s="215"/>
    </row>
    <row r="9" spans="1:5" ht="41.1" customHeight="1">
      <c r="A9" s="204">
        <f t="shared" si="0"/>
        <v>6</v>
      </c>
      <c r="B9" s="205" t="s">
        <v>53</v>
      </c>
      <c r="C9" s="205" t="s">
        <v>113</v>
      </c>
      <c r="D9" s="210" t="s">
        <v>118</v>
      </c>
      <c r="E9" s="215"/>
    </row>
    <row r="10" spans="1:5" ht="41.45" customHeight="1" thickBot="1">
      <c r="A10" s="211">
        <f t="shared" ref="A10" si="1">A9+1</f>
        <v>7</v>
      </c>
      <c r="B10" s="212" t="s">
        <v>53</v>
      </c>
      <c r="C10" s="212" t="s">
        <v>116</v>
      </c>
      <c r="D10" s="217" t="s">
        <v>117</v>
      </c>
      <c r="E10" s="205"/>
    </row>
    <row r="11" spans="1:5" ht="20.100000000000001" customHeight="1">
      <c r="A11" s="205"/>
      <c r="B11" s="205"/>
      <c r="C11" s="205"/>
      <c r="D11" s="205"/>
      <c r="E11" s="205"/>
    </row>
    <row r="12" spans="1:5" ht="20.100000000000001" customHeight="1">
      <c r="A12" s="205"/>
      <c r="B12" s="205"/>
      <c r="C12" s="205"/>
      <c r="D12" s="205"/>
      <c r="E12" s="205"/>
    </row>
    <row r="13" spans="1:5" ht="20.100000000000001" customHeight="1">
      <c r="A13" s="215"/>
      <c r="B13" s="215"/>
      <c r="C13" s="215"/>
      <c r="D13" s="215"/>
      <c r="E13" s="215"/>
    </row>
    <row r="14" spans="1:5" ht="20.100000000000001" customHeight="1">
      <c r="A14" s="215"/>
      <c r="B14" s="215"/>
      <c r="C14" s="215"/>
      <c r="D14" s="215"/>
      <c r="E14" s="215"/>
    </row>
    <row r="15" spans="1:5" ht="20.100000000000001" customHeight="1">
      <c r="A15" s="215"/>
      <c r="B15" s="215"/>
      <c r="C15" s="215"/>
      <c r="D15" s="215"/>
      <c r="E15" s="215"/>
    </row>
    <row r="16" spans="1:5" ht="20.100000000000001" customHeight="1">
      <c r="A16" s="215"/>
      <c r="B16" s="215"/>
      <c r="C16" s="215"/>
      <c r="D16" s="215"/>
      <c r="E16" s="215"/>
    </row>
    <row r="17" ht="20.100000000000001" customHeight="1"/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Normal="100"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11.42578125" style="14" customWidth="1"/>
    <col min="11" max="11" width="4.42578125" style="14" customWidth="1"/>
    <col min="12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JEN 2021-26 Initial Proposal - Capital expenditure sharing scheme model</v>
      </c>
      <c r="F1" s="103"/>
      <c r="G1" s="104" t="s">
        <v>42</v>
      </c>
      <c r="H1" s="151" t="s">
        <v>43</v>
      </c>
      <c r="I1" s="156" t="s">
        <v>31</v>
      </c>
      <c r="J1" s="213" t="s">
        <v>100</v>
      </c>
      <c r="K1" s="225" t="s">
        <v>119</v>
      </c>
      <c r="M1" s="105"/>
    </row>
    <row r="2" spans="1:13" s="11" customFormat="1" ht="18" customHeight="1">
      <c r="B2" s="13" t="s">
        <v>30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30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2" t="s">
        <v>119</v>
      </c>
      <c r="J6" s="77"/>
      <c r="K6" s="77"/>
      <c r="L6" s="77"/>
      <c r="M6" s="77"/>
    </row>
    <row r="7" spans="1:13" s="69" customFormat="1" ht="11.25" customHeight="1">
      <c r="C7" s="68" t="s">
        <v>83</v>
      </c>
      <c r="D7" s="152" t="s">
        <v>120</v>
      </c>
      <c r="I7" s="77"/>
      <c r="J7" s="77"/>
      <c r="K7" s="77"/>
      <c r="L7" s="77"/>
    </row>
    <row r="8" spans="1:13" s="69" customFormat="1" ht="11.25" customHeight="1">
      <c r="C8" s="68" t="s">
        <v>84</v>
      </c>
      <c r="D8" s="224" t="s">
        <v>122</v>
      </c>
      <c r="J8" s="77"/>
      <c r="K8" s="77"/>
      <c r="L8" s="77"/>
      <c r="M8" s="77"/>
    </row>
    <row r="9" spans="1:13" s="69" customFormat="1" ht="11.25" customHeight="1">
      <c r="C9" s="180" t="s">
        <v>94</v>
      </c>
      <c r="D9" s="152" t="s">
        <v>95</v>
      </c>
      <c r="J9" s="77"/>
      <c r="K9" s="77"/>
      <c r="L9" s="77"/>
      <c r="M9" s="77"/>
    </row>
    <row r="10" spans="1:13" s="69" customFormat="1" ht="11.25" customHeight="1">
      <c r="C10" s="68"/>
      <c r="J10" s="77"/>
      <c r="K10" s="77"/>
      <c r="L10" s="77"/>
      <c r="M10" s="77"/>
    </row>
    <row r="11" spans="1:13" s="69" customFormat="1" ht="11.25" customHeight="1">
      <c r="C11" s="129" t="s">
        <v>82</v>
      </c>
      <c r="J11" s="77"/>
      <c r="K11" s="77"/>
      <c r="L11" s="77"/>
      <c r="M11" s="77"/>
    </row>
    <row r="12" spans="1:13" s="69" customFormat="1" ht="11.25" customHeight="1">
      <c r="C12" s="68"/>
      <c r="D12" s="70" t="s">
        <v>58</v>
      </c>
      <c r="E12" s="70" t="s">
        <v>59</v>
      </c>
      <c r="F12" s="70" t="s">
        <v>60</v>
      </c>
      <c r="G12" s="70" t="s">
        <v>61</v>
      </c>
      <c r="H12" s="70" t="s">
        <v>62</v>
      </c>
      <c r="J12" s="77"/>
      <c r="K12" s="77"/>
      <c r="L12" s="77"/>
      <c r="M12" s="77"/>
    </row>
    <row r="13" spans="1:13" s="69" customFormat="1" ht="11.25" customHeight="1">
      <c r="C13" s="68" t="s">
        <v>56</v>
      </c>
      <c r="D13" s="189">
        <v>2016</v>
      </c>
      <c r="E13" s="189">
        <v>2017</v>
      </c>
      <c r="F13" s="189">
        <v>2018</v>
      </c>
      <c r="G13" s="189">
        <v>2019</v>
      </c>
      <c r="H13" s="189">
        <v>2020</v>
      </c>
      <c r="J13" s="77"/>
      <c r="K13" s="77"/>
      <c r="L13" s="77"/>
      <c r="M13" s="77"/>
    </row>
    <row r="14" spans="1:13" s="69" customFormat="1" ht="11.25" customHeight="1">
      <c r="C14" s="68" t="s">
        <v>1</v>
      </c>
      <c r="D14" s="152" t="s">
        <v>8</v>
      </c>
      <c r="E14" s="152" t="s">
        <v>8</v>
      </c>
      <c r="F14" s="152" t="s">
        <v>8</v>
      </c>
      <c r="G14" s="152" t="s">
        <v>8</v>
      </c>
      <c r="H14" s="152" t="s">
        <v>8</v>
      </c>
      <c r="J14" s="77"/>
      <c r="K14" s="77"/>
      <c r="L14" s="77"/>
      <c r="M14" s="77"/>
    </row>
    <row r="15" spans="1:13" s="69" customFormat="1" ht="11.25" customHeight="1">
      <c r="C15" s="68" t="s">
        <v>2</v>
      </c>
      <c r="D15" s="152" t="s">
        <v>7</v>
      </c>
      <c r="E15" s="152" t="s">
        <v>7</v>
      </c>
      <c r="F15" s="152" t="s">
        <v>7</v>
      </c>
      <c r="G15" s="152" t="s">
        <v>24</v>
      </c>
      <c r="H15" s="152" t="s">
        <v>24</v>
      </c>
      <c r="J15" s="77"/>
      <c r="K15" s="77"/>
      <c r="L15" s="77"/>
      <c r="M15" s="77"/>
    </row>
    <row r="16" spans="1:13" s="69" customFormat="1" ht="11.25" customHeight="1">
      <c r="C16" s="68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9" customFormat="1" ht="11.25" customHeight="1">
      <c r="C17" s="68"/>
      <c r="D17" s="70" t="s">
        <v>58</v>
      </c>
      <c r="E17" s="70" t="s">
        <v>59</v>
      </c>
      <c r="F17" s="70" t="s">
        <v>60</v>
      </c>
      <c r="G17" s="70" t="s">
        <v>61</v>
      </c>
      <c r="H17" s="70" t="s">
        <v>62</v>
      </c>
      <c r="J17" s="77"/>
      <c r="K17" s="77"/>
      <c r="L17" s="77"/>
      <c r="M17" s="77"/>
    </row>
    <row r="18" spans="1:13" s="69" customFormat="1" ht="11.25" customHeight="1">
      <c r="C18" s="68" t="s">
        <v>57</v>
      </c>
      <c r="D18" s="179" t="str">
        <f>D9</f>
        <v>2021-22</v>
      </c>
      <c r="E18" s="179" t="str">
        <f>IF(LEN(D18)&gt;4,CONCATENATE(LEFT(D18,4)+1&amp;"–"&amp;IF(RIGHT(D18,2)+1&gt;9,"","0")&amp;RIGHT(D18,2)+1),D18+1)</f>
        <v>2022–23</v>
      </c>
      <c r="F18" s="179" t="str">
        <f t="shared" ref="F18:H18" si="0">IF(LEN(E18)&gt;4,CONCATENATE(LEFT(E18,4)+1&amp;"–"&amp;IF(RIGHT(E18,2)+1&gt;9,"","0")&amp;RIGHT(E18,2)+1),E18+1)</f>
        <v>2023–24</v>
      </c>
      <c r="G18" s="179" t="str">
        <f t="shared" si="0"/>
        <v>2024–25</v>
      </c>
      <c r="H18" s="179" t="str">
        <f t="shared" si="0"/>
        <v>2025–26</v>
      </c>
      <c r="J18" s="77"/>
      <c r="K18" s="77"/>
      <c r="L18" s="77"/>
      <c r="M18" s="77"/>
    </row>
    <row r="19" spans="1:13" s="69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9" customFormat="1" ht="11.25" customHeight="1">
      <c r="J20" s="77"/>
      <c r="K20" s="77"/>
      <c r="L20" s="77"/>
      <c r="M20" s="77"/>
    </row>
    <row r="21" spans="1:13" s="62" customFormat="1" ht="12.75" customHeight="1">
      <c r="A21" s="8"/>
      <c r="B21" s="29" t="s">
        <v>29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JEN 2021-26 Initial Proposal - Capital expenditure sharing scheme model</v>
      </c>
      <c r="D1" s="12"/>
      <c r="E1" s="12"/>
      <c r="F1" s="12"/>
      <c r="G1" s="103"/>
      <c r="H1" s="104" t="s">
        <v>42</v>
      </c>
      <c r="I1" s="151" t="s">
        <v>43</v>
      </c>
      <c r="J1" s="156" t="s">
        <v>31</v>
      </c>
      <c r="K1" s="203" t="s">
        <v>100</v>
      </c>
      <c r="L1" s="225" t="s">
        <v>119</v>
      </c>
      <c r="O1" s="105"/>
      <c r="P1" s="77"/>
      <c r="Q1" s="77"/>
      <c r="R1" s="77"/>
      <c r="S1" s="77"/>
      <c r="T1" s="77"/>
      <c r="U1" s="77"/>
    </row>
    <row r="2" spans="1:21" s="11" customFormat="1" ht="18" customHeight="1">
      <c r="C2" s="13" t="s">
        <v>85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79" customFormat="1" ht="12.75" customHeight="1">
      <c r="C4" s="29" t="s">
        <v>38</v>
      </c>
      <c r="D4" s="80"/>
      <c r="E4" s="80"/>
      <c r="F4" s="80"/>
      <c r="N4" s="81"/>
    </row>
    <row r="5" spans="1:21" ht="11.25" customHeight="1">
      <c r="A5" s="11"/>
      <c r="B5" s="11"/>
      <c r="C5" s="16"/>
      <c r="D5" s="77"/>
      <c r="E5" s="77"/>
      <c r="F5" s="77"/>
      <c r="O5" s="11"/>
    </row>
    <row r="6" spans="1:21" ht="11.25" customHeight="1">
      <c r="A6" s="11"/>
      <c r="B6" s="11"/>
      <c r="C6" s="16"/>
      <c r="D6" s="74" t="s">
        <v>6</v>
      </c>
      <c r="E6" s="74" t="s">
        <v>47</v>
      </c>
      <c r="F6" s="74"/>
      <c r="O6" s="11"/>
    </row>
    <row r="7" spans="1:21" ht="11.25" customHeight="1">
      <c r="A7" s="11"/>
      <c r="B7" s="11"/>
      <c r="C7" s="16"/>
      <c r="D7" s="77"/>
      <c r="E7" s="77"/>
      <c r="F7" s="169">
        <f>IF(LEN(G7)&gt;4,CONCATENATE(LEFT(G7,4)-1&amp;"–"&amp;IF(RIGHT(G7,2)="00","99",IF(RIGHT(G7,2)-1&lt;10,"0","")&amp;RIGHT(G7,2)-1)),G7-1)</f>
        <v>2015</v>
      </c>
      <c r="G7" s="168">
        <f>'Input | General'!D13</f>
        <v>2016</v>
      </c>
      <c r="H7" s="168">
        <f>'Input | General'!E13</f>
        <v>2017</v>
      </c>
      <c r="I7" s="168">
        <f>'Input | General'!F13</f>
        <v>2018</v>
      </c>
      <c r="J7" s="168">
        <f>'Input | General'!G13</f>
        <v>2019</v>
      </c>
      <c r="K7" s="168">
        <f>'Input | General'!H13</f>
        <v>2020</v>
      </c>
      <c r="L7" s="187" t="s">
        <v>96</v>
      </c>
      <c r="M7" s="168" t="str">
        <f>'Input | General'!D18</f>
        <v>2021-22</v>
      </c>
      <c r="N7" s="168" t="str">
        <f>'Input | General'!E18</f>
        <v>2022–23</v>
      </c>
      <c r="O7" s="168" t="str">
        <f>'Input | General'!F18</f>
        <v>2023–24</v>
      </c>
      <c r="P7" s="168" t="str">
        <f>'Input | General'!G18</f>
        <v>2024–25</v>
      </c>
      <c r="Q7" s="168" t="str">
        <f>'Input | General'!H18</f>
        <v>2025–26</v>
      </c>
    </row>
    <row r="8" spans="1:21" ht="11.25" customHeight="1">
      <c r="A8" s="11"/>
      <c r="B8" s="11"/>
      <c r="C8" s="78" t="s">
        <v>76</v>
      </c>
      <c r="D8" s="226" t="s">
        <v>121</v>
      </c>
      <c r="E8" s="76" t="s">
        <v>46</v>
      </c>
      <c r="F8" s="76"/>
      <c r="G8" s="153">
        <v>1.5037593984962294E-2</v>
      </c>
      <c r="H8" s="153">
        <v>1.0232558139534831E-2</v>
      </c>
      <c r="I8" s="153">
        <v>1.9337016574585641E-2</v>
      </c>
      <c r="J8" s="153">
        <v>2.0776874435411097E-2</v>
      </c>
      <c r="K8" s="153">
        <v>1.5929203539823078E-2</v>
      </c>
      <c r="L8" s="188">
        <v>1.175589941447841E-2</v>
      </c>
      <c r="M8" s="84"/>
      <c r="N8" s="84"/>
      <c r="O8" s="84"/>
      <c r="P8" s="84"/>
      <c r="Q8" s="84"/>
    </row>
    <row r="9" spans="1:21" ht="11.25" customHeight="1">
      <c r="A9" s="11"/>
      <c r="B9" s="11"/>
      <c r="C9" s="78" t="s">
        <v>77</v>
      </c>
      <c r="D9" s="226" t="s">
        <v>121</v>
      </c>
      <c r="E9" s="76" t="s">
        <v>46</v>
      </c>
      <c r="F9" s="76"/>
      <c r="G9" s="124"/>
      <c r="H9" s="124"/>
      <c r="I9" s="124"/>
      <c r="J9" s="124"/>
      <c r="K9" s="124"/>
      <c r="L9" s="124"/>
      <c r="M9" s="153">
        <v>2.3650000000000001E-2</v>
      </c>
      <c r="N9" s="137">
        <f t="shared" ref="N9:Q9" si="0">M9</f>
        <v>2.3650000000000001E-2</v>
      </c>
      <c r="O9" s="137">
        <f t="shared" si="0"/>
        <v>2.3650000000000001E-2</v>
      </c>
      <c r="P9" s="137">
        <f t="shared" si="0"/>
        <v>2.3650000000000001E-2</v>
      </c>
      <c r="Q9" s="137">
        <f t="shared" si="0"/>
        <v>2.3650000000000001E-2</v>
      </c>
    </row>
    <row r="10" spans="1:21" ht="11.25" customHeight="1">
      <c r="A10" s="11"/>
      <c r="B10" s="11"/>
      <c r="C10" s="134" t="str">
        <f>"CPI Index (base year "&amp;F7&amp;")"</f>
        <v>CPI Index (base year 2015)</v>
      </c>
      <c r="D10" s="226" t="s">
        <v>121</v>
      </c>
      <c r="E10" s="76" t="s">
        <v>25</v>
      </c>
      <c r="F10" s="132">
        <v>1</v>
      </c>
      <c r="G10" s="119">
        <f t="shared" ref="G10:L10" si="1">IF(G7&lt;&gt;"",(F10*(1+G8)),"")</f>
        <v>1.0150375939849623</v>
      </c>
      <c r="H10" s="119">
        <f t="shared" si="1"/>
        <v>1.025424025179227</v>
      </c>
      <c r="I10" s="119">
        <f t="shared" si="1"/>
        <v>1.0452526665500961</v>
      </c>
      <c r="J10" s="119">
        <f t="shared" si="1"/>
        <v>1.066969749956286</v>
      </c>
      <c r="K10" s="119">
        <f t="shared" si="1"/>
        <v>1.0839657282741739</v>
      </c>
      <c r="L10" s="119">
        <f t="shared" si="1"/>
        <v>1.0967087203445069</v>
      </c>
      <c r="M10" s="85">
        <f>IF(M7&lt;&gt;"",(L10*(1+M9)),"")</f>
        <v>1.1226458815806546</v>
      </c>
      <c r="N10" s="85">
        <f t="shared" ref="N10:Q10" si="2">IF(N7&lt;&gt;"",(M10*(1+N9)),"")</f>
        <v>1.149196456680037</v>
      </c>
      <c r="O10" s="85">
        <f t="shared" si="2"/>
        <v>1.1763749528805199</v>
      </c>
      <c r="P10" s="85">
        <f t="shared" si="2"/>
        <v>1.2041962205161441</v>
      </c>
      <c r="Q10" s="85">
        <f t="shared" si="2"/>
        <v>1.2326754611313508</v>
      </c>
    </row>
    <row r="11" spans="1:21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5"/>
      <c r="L11" s="125"/>
      <c r="M11" s="125"/>
      <c r="N11" s="125"/>
      <c r="O11" s="125"/>
      <c r="P11" s="125"/>
      <c r="Q11" s="125"/>
    </row>
    <row r="12" spans="1:21" ht="11.25" customHeight="1">
      <c r="A12" s="11"/>
      <c r="B12" s="11"/>
      <c r="C12" s="78"/>
      <c r="D12" s="76"/>
      <c r="E12" s="76"/>
      <c r="F12" s="76"/>
      <c r="G12" s="121"/>
      <c r="H12" s="121"/>
      <c r="I12" s="121"/>
      <c r="J12" s="121"/>
      <c r="K12" s="24"/>
      <c r="L12" s="24"/>
      <c r="M12" s="24"/>
      <c r="N12" s="24"/>
    </row>
    <row r="13" spans="1:21" ht="11.25" customHeight="1">
      <c r="A13" s="11"/>
      <c r="B13" s="11"/>
      <c r="C13" s="78" t="s">
        <v>76</v>
      </c>
      <c r="D13" s="76" t="s">
        <v>44</v>
      </c>
      <c r="E13" s="76" t="s">
        <v>46</v>
      </c>
      <c r="F13" s="76"/>
      <c r="G13" s="153">
        <f t="shared" ref="G13:L13" si="3">G8</f>
        <v>1.5037593984962294E-2</v>
      </c>
      <c r="H13" s="153">
        <f t="shared" si="3"/>
        <v>1.0232558139534831E-2</v>
      </c>
      <c r="I13" s="153">
        <f t="shared" si="3"/>
        <v>1.9337016574585641E-2</v>
      </c>
      <c r="J13" s="153">
        <f t="shared" si="3"/>
        <v>2.0776874435411097E-2</v>
      </c>
      <c r="K13" s="153">
        <f t="shared" si="3"/>
        <v>1.5929203539823078E-2</v>
      </c>
      <c r="L13" s="188">
        <f t="shared" si="3"/>
        <v>1.175589941447841E-2</v>
      </c>
      <c r="M13" s="183"/>
      <c r="N13" s="121"/>
      <c r="O13" s="121"/>
      <c r="P13" s="121"/>
      <c r="Q13" s="121"/>
    </row>
    <row r="14" spans="1:21" ht="11.25" customHeight="1">
      <c r="A14" s="11"/>
      <c r="B14" s="11"/>
      <c r="C14" s="78" t="s">
        <v>77</v>
      </c>
      <c r="D14" s="76" t="s">
        <v>44</v>
      </c>
      <c r="E14" s="76" t="s">
        <v>46</v>
      </c>
      <c r="F14" s="76"/>
      <c r="G14" s="84"/>
      <c r="H14" s="84"/>
      <c r="I14" s="84"/>
      <c r="J14" s="125"/>
      <c r="K14" s="125"/>
      <c r="L14" s="125"/>
      <c r="M14" s="153">
        <f>M9</f>
        <v>2.3650000000000001E-2</v>
      </c>
      <c r="N14" s="137">
        <f t="shared" ref="N14:Q14" si="4">M14</f>
        <v>2.3650000000000001E-2</v>
      </c>
      <c r="O14" s="137">
        <f t="shared" si="4"/>
        <v>2.3650000000000001E-2</v>
      </c>
      <c r="P14" s="137">
        <f t="shared" si="4"/>
        <v>2.3650000000000001E-2</v>
      </c>
      <c r="Q14" s="137">
        <f t="shared" si="4"/>
        <v>2.3650000000000001E-2</v>
      </c>
    </row>
    <row r="15" spans="1:21" ht="11.25" customHeight="1">
      <c r="A15" s="11"/>
      <c r="B15" s="11"/>
      <c r="C15" s="134" t="str">
        <f>"CPI Index (base year "&amp;F7&amp;")"</f>
        <v>CPI Index (base year 2015)</v>
      </c>
      <c r="D15" s="76" t="s">
        <v>44</v>
      </c>
      <c r="E15" s="76" t="s">
        <v>25</v>
      </c>
      <c r="F15" s="132">
        <v>1</v>
      </c>
      <c r="G15" s="119">
        <f t="shared" ref="G15:L15" si="5">IF(G7&lt;&gt;"",(F15*(1+G13)),"")</f>
        <v>1.0150375939849623</v>
      </c>
      <c r="H15" s="119">
        <f t="shared" si="5"/>
        <v>1.025424025179227</v>
      </c>
      <c r="I15" s="119">
        <f t="shared" si="5"/>
        <v>1.0452526665500961</v>
      </c>
      <c r="J15" s="184">
        <f t="shared" si="5"/>
        <v>1.066969749956286</v>
      </c>
      <c r="K15" s="185">
        <f t="shared" si="5"/>
        <v>1.0839657282741739</v>
      </c>
      <c r="L15" s="184">
        <f t="shared" si="5"/>
        <v>1.0967087203445069</v>
      </c>
      <c r="M15" s="185">
        <f>IF(M7&lt;&gt;"",(L15*(1+M14)),"")</f>
        <v>1.1226458815806546</v>
      </c>
      <c r="N15" s="85">
        <f t="shared" ref="N15:Q15" si="6">IF(N7&lt;&gt;"",(M15*(1+N14)),"")</f>
        <v>1.149196456680037</v>
      </c>
      <c r="O15" s="85">
        <f t="shared" si="6"/>
        <v>1.1763749528805199</v>
      </c>
      <c r="P15" s="85">
        <f t="shared" si="6"/>
        <v>1.2041962205161441</v>
      </c>
      <c r="Q15" s="85">
        <f t="shared" si="6"/>
        <v>1.2326754611313508</v>
      </c>
    </row>
    <row r="16" spans="1:21" s="123" customFormat="1" ht="11.25" customHeight="1">
      <c r="A16" s="2"/>
      <c r="B16" s="2"/>
      <c r="C16" s="78"/>
      <c r="D16" s="122"/>
      <c r="E16" s="122"/>
      <c r="F16" s="122"/>
      <c r="G16" s="84"/>
      <c r="H16" s="84"/>
      <c r="I16" s="84"/>
      <c r="J16" s="84"/>
      <c r="K16" s="126"/>
      <c r="L16" s="126"/>
      <c r="M16" s="126"/>
      <c r="N16" s="126"/>
      <c r="O16" s="126"/>
      <c r="P16" s="126"/>
      <c r="Q16" s="126"/>
    </row>
    <row r="17" spans="1:17" s="79" customFormat="1" ht="12.75" customHeight="1">
      <c r="C17" s="29" t="s">
        <v>63</v>
      </c>
      <c r="D17" s="80"/>
      <c r="E17" s="80"/>
      <c r="F17" s="80"/>
      <c r="N17" s="81"/>
    </row>
    <row r="18" spans="1:17" ht="11.25" customHeight="1">
      <c r="A18" s="16"/>
      <c r="B18" s="77"/>
      <c r="C18" s="77"/>
      <c r="D18" s="77"/>
      <c r="E18" s="77"/>
      <c r="F18" s="74"/>
      <c r="O18" s="11"/>
    </row>
    <row r="19" spans="1:17" ht="11.25" customHeight="1">
      <c r="C19" s="16"/>
      <c r="D19" s="74" t="s">
        <v>6</v>
      </c>
      <c r="E19" s="74" t="s">
        <v>47</v>
      </c>
      <c r="F19" s="77"/>
      <c r="G19" s="168">
        <f>G7</f>
        <v>2016</v>
      </c>
      <c r="H19" s="168">
        <f t="shared" ref="H19:Q19" si="7">H7</f>
        <v>2017</v>
      </c>
      <c r="I19" s="168">
        <f t="shared" si="7"/>
        <v>2018</v>
      </c>
      <c r="J19" s="168">
        <f t="shared" si="7"/>
        <v>2019</v>
      </c>
      <c r="K19" s="168">
        <f t="shared" si="7"/>
        <v>2020</v>
      </c>
      <c r="L19" s="187" t="s">
        <v>96</v>
      </c>
      <c r="M19" s="168" t="str">
        <f t="shared" si="7"/>
        <v>2021-22</v>
      </c>
      <c r="N19" s="168" t="str">
        <f t="shared" si="7"/>
        <v>2022–23</v>
      </c>
      <c r="O19" s="168" t="str">
        <f t="shared" si="7"/>
        <v>2023–24</v>
      </c>
      <c r="P19" s="168" t="str">
        <f t="shared" si="7"/>
        <v>2024–25</v>
      </c>
      <c r="Q19" s="168" t="str">
        <f t="shared" si="7"/>
        <v>2025–26</v>
      </c>
    </row>
    <row r="20" spans="1:17" ht="11.25" customHeight="1">
      <c r="C20" s="78" t="s">
        <v>10</v>
      </c>
      <c r="D20" s="76" t="s">
        <v>44</v>
      </c>
      <c r="E20" s="76" t="s">
        <v>46</v>
      </c>
      <c r="F20" s="77"/>
      <c r="G20" s="153">
        <v>3.9328628706946173E-2</v>
      </c>
      <c r="H20" s="153">
        <v>3.8730571453602453E-2</v>
      </c>
      <c r="I20" s="153">
        <v>3.8214665412155749E-2</v>
      </c>
      <c r="J20" s="153">
        <v>3.7669116070430331E-2</v>
      </c>
      <c r="K20" s="153">
        <v>3.6561951019833616E-2</v>
      </c>
      <c r="L20" s="188">
        <v>1.2104746010161538E-2</v>
      </c>
      <c r="M20" s="125"/>
      <c r="N20" s="125"/>
      <c r="O20" s="125"/>
      <c r="P20" s="125"/>
      <c r="Q20" s="125"/>
    </row>
    <row r="21" spans="1:17" ht="11.25" customHeight="1">
      <c r="C21" s="147" t="s">
        <v>90</v>
      </c>
      <c r="D21" s="76" t="s">
        <v>44</v>
      </c>
      <c r="E21" s="76" t="s">
        <v>46</v>
      </c>
      <c r="F21" s="77"/>
      <c r="G21" s="182"/>
      <c r="H21" s="182"/>
      <c r="I21" s="182"/>
      <c r="J21" s="182"/>
      <c r="K21" s="182"/>
      <c r="L21" s="182"/>
      <c r="M21" s="153">
        <v>2.3802907533617957E-2</v>
      </c>
      <c r="N21" s="153">
        <v>2.2695910158513535E-2</v>
      </c>
      <c r="O21" s="153">
        <v>2.1588912783409242E-2</v>
      </c>
      <c r="P21" s="153">
        <v>2.0481915408304817E-2</v>
      </c>
      <c r="Q21" s="153">
        <v>1.9374918033200662E-2</v>
      </c>
    </row>
    <row r="22" spans="1:17" ht="11.25" customHeight="1">
      <c r="C22" s="78" t="s">
        <v>64</v>
      </c>
      <c r="D22" s="76" t="s">
        <v>55</v>
      </c>
      <c r="E22" s="76" t="s">
        <v>46</v>
      </c>
      <c r="F22" s="77"/>
      <c r="G22" s="138">
        <f t="shared" ref="G22:L22" si="8">IF(AND(G13&lt;&gt;"",G20&lt;&gt;""),((1+G20)*(1+G13)-1),"")</f>
        <v>5.4957630642388677E-2</v>
      </c>
      <c r="H22" s="138">
        <f t="shared" si="8"/>
        <v>4.9359442417313604E-2</v>
      </c>
      <c r="I22" s="138">
        <f t="shared" si="8"/>
        <v>5.8290639605208527E-2</v>
      </c>
      <c r="J22" s="138">
        <f t="shared" si="8"/>
        <v>5.9228637000529716E-2</v>
      </c>
      <c r="K22" s="138">
        <f t="shared" si="8"/>
        <v>5.3073557319264664E-2</v>
      </c>
      <c r="L22" s="190">
        <f t="shared" si="8"/>
        <v>2.4002947601173164E-2</v>
      </c>
      <c r="M22" s="138">
        <f>IF(AND(M14&lt;&gt;"",M21&lt;&gt;""),((1+M21)*(1+M14)-1),"")</f>
        <v>4.8015846296787901E-2</v>
      </c>
      <c r="N22" s="138">
        <f t="shared" ref="N22:Q22" si="9">IF(AND(N14&lt;&gt;"",N21&lt;&gt;""),((1+N21)*(1+N14)-1),"")</f>
        <v>4.6882668433762431E-2</v>
      </c>
      <c r="O22" s="138">
        <f t="shared" si="9"/>
        <v>4.5749490570736739E-2</v>
      </c>
      <c r="P22" s="138">
        <f t="shared" si="9"/>
        <v>4.461631270771127E-2</v>
      </c>
      <c r="Q22" s="138">
        <f t="shared" si="9"/>
        <v>4.34831348446858E-2</v>
      </c>
    </row>
    <row r="23" spans="1:17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29</v>
      </c>
      <c r="D24" s="63"/>
      <c r="E24" s="63"/>
    </row>
    <row r="25" spans="1:17" ht="18" hidden="1" customHeight="1">
      <c r="G25" s="83"/>
      <c r="H25" s="83"/>
      <c r="I25" s="83"/>
      <c r="J25" s="83"/>
      <c r="K25" s="83"/>
      <c r="L25" s="83"/>
      <c r="M25" s="83"/>
      <c r="N25" s="83"/>
    </row>
    <row r="26" spans="1:17" ht="18" hidden="1" customHeight="1">
      <c r="G26" s="83"/>
      <c r="H26" s="83"/>
      <c r="I26" s="83"/>
      <c r="J26" s="83"/>
      <c r="K26" s="83"/>
      <c r="L26" s="83"/>
      <c r="M26" s="83"/>
      <c r="N26" s="83"/>
    </row>
    <row r="27" spans="1:17" ht="18" hidden="1" customHeight="1">
      <c r="G27" s="83"/>
      <c r="H27" s="83"/>
      <c r="I27" s="83"/>
      <c r="J27" s="83"/>
      <c r="K27" s="83"/>
      <c r="L27" s="83"/>
      <c r="M27" s="83"/>
      <c r="N27" s="83"/>
    </row>
    <row r="28" spans="1:17" ht="18" hidden="1" customHeight="1">
      <c r="G28" s="83"/>
      <c r="H28" s="83"/>
      <c r="I28" s="83"/>
      <c r="J28" s="83"/>
      <c r="K28" s="83"/>
      <c r="L28" s="83"/>
      <c r="M28" s="83"/>
      <c r="N28" s="83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115"/>
  <sheetViews>
    <sheetView zoomScaleNormal="100"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3.85546875" style="11" customWidth="1"/>
    <col min="14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JEN 2021-26 Initial Proposal - Capital expenditure sharing scheme model</v>
      </c>
      <c r="D1" s="12"/>
      <c r="E1" s="12"/>
      <c r="F1" s="12"/>
      <c r="G1" s="12"/>
      <c r="H1" s="103"/>
      <c r="I1" s="104" t="s">
        <v>42</v>
      </c>
      <c r="J1" s="151" t="s">
        <v>43</v>
      </c>
      <c r="K1" s="156" t="s">
        <v>31</v>
      </c>
      <c r="L1" s="213" t="s">
        <v>100</v>
      </c>
      <c r="M1" s="225" t="s">
        <v>119</v>
      </c>
    </row>
    <row r="2" spans="2:14" ht="18" customHeight="1">
      <c r="B2" s="13" t="s">
        <v>32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35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47</v>
      </c>
      <c r="F6" s="74" t="s">
        <v>4</v>
      </c>
      <c r="G6" s="64"/>
      <c r="H6" s="170">
        <f>IF('Input | General'!D14="Yes",'Input | General'!D13,"n/a")</f>
        <v>2016</v>
      </c>
      <c r="I6" s="170">
        <f>IF('Input | General'!E14="Yes",'Input | General'!E13,"n/a")</f>
        <v>2017</v>
      </c>
      <c r="J6" s="170">
        <f>IF('Input | General'!F14="Yes",'Input | General'!F13,"n/a")</f>
        <v>2018</v>
      </c>
      <c r="K6" s="170">
        <f>IF('Input | General'!G14="Yes",'Input | General'!G13,"n/a")</f>
        <v>2019</v>
      </c>
      <c r="L6" s="170">
        <f>IF('Input | General'!H14="Yes",'Input | General'!H13,"n/a")</f>
        <v>2020</v>
      </c>
      <c r="M6" s="106"/>
      <c r="N6" s="106"/>
    </row>
    <row r="7" spans="2:14" s="67" customFormat="1" ht="10.5" customHeight="1">
      <c r="M7" s="106"/>
      <c r="N7" s="106"/>
    </row>
    <row r="8" spans="2:14" ht="10.5" customHeight="1">
      <c r="C8" s="78" t="s">
        <v>3</v>
      </c>
      <c r="D8" s="76" t="s">
        <v>44</v>
      </c>
      <c r="E8" s="76" t="s">
        <v>45</v>
      </c>
      <c r="F8" s="171">
        <f>'Input | Inflation and Disc Rate'!$F$7</f>
        <v>2015</v>
      </c>
      <c r="G8" s="67"/>
      <c r="H8" s="154">
        <v>167.75306659435577</v>
      </c>
      <c r="I8" s="154">
        <v>203.84213764546377</v>
      </c>
      <c r="J8" s="154">
        <v>169.31656060080007</v>
      </c>
      <c r="K8" s="154">
        <v>168.49436086174802</v>
      </c>
      <c r="L8" s="154">
        <v>153.12204666426095</v>
      </c>
      <c r="M8" s="2"/>
      <c r="N8" s="2"/>
    </row>
    <row r="9" spans="2:14" ht="10.5" customHeight="1">
      <c r="C9" s="78" t="s">
        <v>92</v>
      </c>
      <c r="D9" s="76" t="s">
        <v>44</v>
      </c>
      <c r="E9" s="76" t="s">
        <v>45</v>
      </c>
      <c r="F9" s="171">
        <f>'Input | Inflation and Disc Rate'!$F$7</f>
        <v>2015</v>
      </c>
      <c r="G9" s="67"/>
      <c r="H9" s="154">
        <v>29.65752003697375</v>
      </c>
      <c r="I9" s="154">
        <v>31.882176868159537</v>
      </c>
      <c r="J9" s="154">
        <v>29.212231401211675</v>
      </c>
      <c r="K9" s="154">
        <v>30.286585667854329</v>
      </c>
      <c r="L9" s="154">
        <v>32.201525604863882</v>
      </c>
      <c r="M9" s="2"/>
      <c r="N9" s="2"/>
    </row>
    <row r="10" spans="2:14" ht="10.5" customHeight="1">
      <c r="C10" s="78" t="s">
        <v>86</v>
      </c>
      <c r="D10" s="76" t="s">
        <v>44</v>
      </c>
      <c r="E10" s="76" t="s">
        <v>45</v>
      </c>
      <c r="F10" s="171">
        <f>'Input | Inflation and Disc Rate'!$F$7</f>
        <v>2015</v>
      </c>
      <c r="G10" s="67"/>
      <c r="H10" s="154">
        <v>3.6939242307692308</v>
      </c>
      <c r="I10" s="154">
        <v>0.16287384615384617</v>
      </c>
      <c r="J10" s="154">
        <v>0.1651246153846154</v>
      </c>
      <c r="K10" s="154">
        <v>0.25776423076923077</v>
      </c>
      <c r="L10" s="154">
        <v>0.16896115384615379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6"/>
      <c r="N11" s="106"/>
    </row>
    <row r="12" spans="2:14" ht="10.5" customHeight="1">
      <c r="C12" s="75" t="s">
        <v>5</v>
      </c>
      <c r="D12" s="218" t="s">
        <v>55</v>
      </c>
      <c r="E12" s="219" t="s">
        <v>45</v>
      </c>
      <c r="F12" s="220">
        <f>'Input | Inflation and Disc Rate'!$F$7</f>
        <v>2015</v>
      </c>
      <c r="G12" s="67"/>
      <c r="H12" s="221">
        <f>IF(H6="", "", H8-H9-H10)</f>
        <v>134.4016223266128</v>
      </c>
      <c r="I12" s="221">
        <f t="shared" ref="I12:L12" si="0">IF(I6="", "", I8-I9-I10)</f>
        <v>171.79708693115037</v>
      </c>
      <c r="J12" s="221">
        <f t="shared" si="0"/>
        <v>139.93920458420376</v>
      </c>
      <c r="K12" s="221">
        <f t="shared" si="0"/>
        <v>137.95001096312447</v>
      </c>
      <c r="L12" s="221">
        <f t="shared" si="0"/>
        <v>120.75155990555091</v>
      </c>
      <c r="M12" s="2"/>
      <c r="N12" s="2"/>
    </row>
    <row r="13" spans="2:14" ht="10.5" customHeight="1">
      <c r="D13" s="67"/>
      <c r="E13" s="67"/>
      <c r="F13" s="67"/>
      <c r="G13" s="67"/>
      <c r="M13" s="71"/>
      <c r="N13" s="71"/>
    </row>
    <row r="14" spans="2:14" s="8" customFormat="1" ht="12.75" customHeight="1">
      <c r="B14" s="73" t="s">
        <v>36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47</v>
      </c>
      <c r="F16" s="74" t="s">
        <v>4</v>
      </c>
      <c r="G16" s="64"/>
      <c r="H16" s="170">
        <f>H6</f>
        <v>2016</v>
      </c>
      <c r="I16" s="170">
        <f t="shared" ref="I16:L16" si="1">I6</f>
        <v>2017</v>
      </c>
      <c r="J16" s="170">
        <f t="shared" si="1"/>
        <v>2018</v>
      </c>
      <c r="K16" s="170">
        <f t="shared" si="1"/>
        <v>2019</v>
      </c>
      <c r="L16" s="170">
        <f t="shared" si="1"/>
        <v>2020</v>
      </c>
      <c r="M16" s="106"/>
      <c r="N16" s="106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6"/>
      <c r="N17" s="106"/>
    </row>
    <row r="18" spans="2:14" s="2" customFormat="1" ht="10.5" customHeight="1">
      <c r="B18" s="72"/>
      <c r="C18" s="78" t="s">
        <v>72</v>
      </c>
      <c r="D18" s="76" t="s">
        <v>44</v>
      </c>
      <c r="E18" s="76" t="s">
        <v>45</v>
      </c>
      <c r="F18" s="76" t="s">
        <v>48</v>
      </c>
      <c r="G18" s="67"/>
      <c r="H18" s="154">
        <v>120.46736619385238</v>
      </c>
      <c r="I18" s="154">
        <v>155.9191644780505</v>
      </c>
      <c r="J18" s="154">
        <v>149.71881501999999</v>
      </c>
      <c r="K18" s="154">
        <v>152.03495583896625</v>
      </c>
      <c r="L18" s="154">
        <v>160.54389162983483</v>
      </c>
    </row>
    <row r="19" spans="2:14" s="2" customFormat="1" ht="10.5" customHeight="1">
      <c r="B19" s="72"/>
      <c r="C19" s="78" t="s">
        <v>92</v>
      </c>
      <c r="D19" s="76" t="s">
        <v>44</v>
      </c>
      <c r="E19" s="76" t="s">
        <v>45</v>
      </c>
      <c r="F19" s="76" t="s">
        <v>48</v>
      </c>
      <c r="G19" s="136"/>
      <c r="H19" s="155">
        <v>12.874707940000002</v>
      </c>
      <c r="I19" s="154">
        <v>24.226373509999995</v>
      </c>
      <c r="J19" s="154">
        <v>24.511393379999998</v>
      </c>
      <c r="K19" s="154">
        <v>28.363309156522799</v>
      </c>
      <c r="L19" s="154">
        <v>37.406154453470606</v>
      </c>
    </row>
    <row r="20" spans="2:14" s="2" customFormat="1" ht="10.5" customHeight="1">
      <c r="B20" s="72"/>
      <c r="C20" s="135" t="s">
        <v>86</v>
      </c>
      <c r="D20" s="76" t="s">
        <v>44</v>
      </c>
      <c r="E20" s="76" t="s">
        <v>45</v>
      </c>
      <c r="F20" s="76" t="s">
        <v>48</v>
      </c>
      <c r="G20" s="136"/>
      <c r="H20" s="155">
        <v>0.13893908999999999</v>
      </c>
      <c r="I20" s="154">
        <v>0.2198215</v>
      </c>
      <c r="J20" s="154">
        <v>0.34981207000000003</v>
      </c>
      <c r="K20" s="154">
        <v>0.10270088528494133</v>
      </c>
      <c r="L20" s="154">
        <v>0.22471338463847534</v>
      </c>
    </row>
    <row r="21" spans="2:14" s="2" customFormat="1" ht="10.5" customHeight="1">
      <c r="B21" s="72"/>
      <c r="C21" s="148" t="s">
        <v>91</v>
      </c>
      <c r="D21" s="76" t="s">
        <v>44</v>
      </c>
      <c r="E21" s="76" t="s">
        <v>45</v>
      </c>
      <c r="F21" s="76" t="s">
        <v>48</v>
      </c>
      <c r="G21" s="67"/>
      <c r="H21" s="155"/>
      <c r="I21" s="154"/>
      <c r="J21" s="154"/>
      <c r="K21" s="154"/>
      <c r="L21" s="154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6"/>
      <c r="N22" s="106"/>
    </row>
    <row r="23" spans="2:14" s="2" customFormat="1" ht="10.5" customHeight="1">
      <c r="B23" s="72"/>
      <c r="C23" s="75" t="s">
        <v>71</v>
      </c>
      <c r="D23" s="218" t="s">
        <v>55</v>
      </c>
      <c r="E23" s="222" t="s">
        <v>45</v>
      </c>
      <c r="F23" s="222" t="s">
        <v>48</v>
      </c>
      <c r="G23" s="67"/>
      <c r="H23" s="221">
        <f>IF(H16="", "", H18-H19-H20-H21)</f>
        <v>107.45371916385238</v>
      </c>
      <c r="I23" s="221">
        <f t="shared" ref="I23:L23" si="2">IF(I16="", "", I18-I19-I20-I21)</f>
        <v>131.47296946805051</v>
      </c>
      <c r="J23" s="221">
        <f t="shared" si="2"/>
        <v>124.85760956999999</v>
      </c>
      <c r="K23" s="221">
        <f t="shared" si="2"/>
        <v>123.56894579715851</v>
      </c>
      <c r="L23" s="221">
        <f t="shared" si="2"/>
        <v>122.91302379172575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37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70" t="str">
        <f>'Input | General'!D18</f>
        <v>2021-22</v>
      </c>
      <c r="I27" s="170" t="str">
        <f>'Input | General'!E18</f>
        <v>2022–23</v>
      </c>
      <c r="J27" s="170" t="str">
        <f>'Input | General'!F18</f>
        <v>2023–24</v>
      </c>
      <c r="K27" s="170" t="str">
        <f>'Input | General'!G18</f>
        <v>2024–25</v>
      </c>
      <c r="L27" s="170" t="str">
        <f>'Input | General'!H18</f>
        <v>2025–26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2" t="s">
        <v>80</v>
      </c>
      <c r="D29" s="227" t="s">
        <v>121</v>
      </c>
      <c r="E29" s="76" t="s">
        <v>45</v>
      </c>
      <c r="F29" s="76" t="s">
        <v>48</v>
      </c>
      <c r="G29" s="67"/>
      <c r="H29" s="155">
        <v>23.458445540667277</v>
      </c>
      <c r="I29" s="155">
        <v>0</v>
      </c>
      <c r="J29" s="155">
        <v>0</v>
      </c>
      <c r="K29" s="155">
        <v>0</v>
      </c>
      <c r="L29" s="155">
        <v>0</v>
      </c>
      <c r="M29" s="2"/>
      <c r="N29" s="2"/>
    </row>
    <row r="30" spans="2:14" ht="11.25" customHeight="1">
      <c r="C30" s="82" t="s">
        <v>80</v>
      </c>
      <c r="D30" s="65" t="s">
        <v>55</v>
      </c>
      <c r="E30" s="76" t="s">
        <v>45</v>
      </c>
      <c r="F30" s="76">
        <f>'Input | Inflation and Disc Rate'!$F$7</f>
        <v>2015</v>
      </c>
      <c r="G30" s="67"/>
      <c r="H30" s="191">
        <f>IF(H29&lt;&gt;"",H29/('Input | Inflation and Disc Rate'!L10*(1+'Input | Inflation and Disc Rate'!M9)^0.5),"")</f>
        <v>21.141324309181314</v>
      </c>
      <c r="I30" s="191">
        <f>IF(I29&lt;&gt;"",I29/('Input | Inflation and Disc Rate'!M10*(1+'Input | Inflation and Disc Rate'!N9)^0.5),"")</f>
        <v>0</v>
      </c>
      <c r="J30" s="191">
        <f>IF(J29&lt;&gt;"",J29/('Input | Inflation and Disc Rate'!N10*(1+'Input | Inflation and Disc Rate'!O9)^0.5),"")</f>
        <v>0</v>
      </c>
      <c r="K30" s="191">
        <f>IF(K29&lt;&gt;"",K29/('Input | Inflation and Disc Rate'!O10*(1+'Input | Inflation and Disc Rate'!P9)^0.5),"")</f>
        <v>0</v>
      </c>
      <c r="L30" s="191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2" t="s">
        <v>80</v>
      </c>
      <c r="D31" s="65" t="s">
        <v>44</v>
      </c>
      <c r="E31" s="76" t="s">
        <v>45</v>
      </c>
      <c r="F31" s="76" t="s">
        <v>48</v>
      </c>
      <c r="G31" s="67"/>
      <c r="H31" s="191">
        <f>IF(H29&lt;&gt;"",H30*'Input | Inflation and Disc Rate'!L15*(1+'Input | Inflation and Disc Rate'!M14)^0.5,"")</f>
        <v>23.458445540667277</v>
      </c>
      <c r="I31" s="191">
        <f>IF(I29&lt;&gt;"",I30*'Input | Inflation and Disc Rate'!M15*(1+'Input | Inflation and Disc Rate'!N14)^0.5,"")</f>
        <v>0</v>
      </c>
      <c r="J31" s="191">
        <f>IF(J29&lt;&gt;"",J30*'Input | Inflation and Disc Rate'!N15*(1+'Input | Inflation and Disc Rate'!O14)^0.5,"")</f>
        <v>0</v>
      </c>
      <c r="K31" s="191">
        <f>IF(K29&lt;&gt;"",K30*'Input | Inflation and Disc Rate'!O15*(1+'Input | Inflation and Disc Rate'!P14)^0.5,"")</f>
        <v>0</v>
      </c>
      <c r="L31" s="191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7"/>
      <c r="E32" s="67"/>
      <c r="F32" s="67"/>
      <c r="G32" s="67"/>
      <c r="M32" s="71"/>
      <c r="N32" s="71"/>
    </row>
    <row r="33" spans="1:6" s="62" customFormat="1" ht="12.75" customHeight="1">
      <c r="A33" s="8"/>
      <c r="B33" s="29" t="s">
        <v>29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</sheetData>
  <conditionalFormatting sqref="H8:H10 I8:L9">
    <cfRule type="expression" dxfId="7" priority="20">
      <formula>IF($H$6&lt;&gt;"","FALSE","TRUE")</formula>
    </cfRule>
  </conditionalFormatting>
  <conditionalFormatting sqref="H18:L18">
    <cfRule type="expression" dxfId="6" priority="15">
      <formula>IF($H$6&lt;&gt;"","FALSE","TRUE")</formula>
    </cfRule>
  </conditionalFormatting>
  <conditionalFormatting sqref="H19:H20">
    <cfRule type="expression" dxfId="5" priority="10">
      <formula>IF($H$6&lt;&gt;"","FALSE","TRUE")</formula>
    </cfRule>
  </conditionalFormatting>
  <conditionalFormatting sqref="I10:L10">
    <cfRule type="expression" dxfId="4" priority="6">
      <formula>IF($H$6&lt;&gt;"","FALSE","TRUE")</formula>
    </cfRule>
  </conditionalFormatting>
  <conditionalFormatting sqref="I19:L20">
    <cfRule type="expression" dxfId="3" priority="5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29:L29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60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3.425781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JEN 2021-26 Initial Proposal - Capital expenditure sharing scheme model</v>
      </c>
      <c r="D1" s="104" t="s">
        <v>42</v>
      </c>
      <c r="E1" s="151" t="s">
        <v>43</v>
      </c>
      <c r="F1" s="156" t="s">
        <v>31</v>
      </c>
      <c r="G1" s="213" t="s">
        <v>100</v>
      </c>
      <c r="H1" s="216" t="s">
        <v>99</v>
      </c>
      <c r="I1" s="225" t="s">
        <v>119</v>
      </c>
      <c r="J1" s="118"/>
      <c r="N1"/>
      <c r="Q1" s="105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39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6"/>
      <c r="J5" s="86"/>
      <c r="K5" s="86"/>
      <c r="L5" s="86"/>
      <c r="M5" s="86"/>
      <c r="N5" s="86"/>
      <c r="O5" s="86"/>
    </row>
    <row r="6" spans="2:23" ht="11.25" customHeight="1">
      <c r="C6" s="114" t="s">
        <v>11</v>
      </c>
      <c r="D6" s="115"/>
      <c r="E6" s="116"/>
      <c r="F6" s="116"/>
      <c r="G6" s="116"/>
      <c r="H6" s="116"/>
      <c r="I6" s="95"/>
    </row>
    <row r="7" spans="2:23" ht="11.25" customHeight="1">
      <c r="C7" s="113" t="s">
        <v>9</v>
      </c>
      <c r="D7" s="170">
        <f>IF('Input | General'!D14="Yes",'Input | General'!D13,"n/a")</f>
        <v>2016</v>
      </c>
      <c r="E7" s="170">
        <f>IF('Input | General'!E14="Yes",'Input | General'!E13,"n/a")</f>
        <v>2017</v>
      </c>
      <c r="F7" s="170">
        <f>IF('Input | General'!F14="Yes",'Input | General'!F13,"n/a")</f>
        <v>2018</v>
      </c>
      <c r="G7" s="170">
        <f>IF('Input | General'!G14="Yes",'Input | General'!G13,"n/a")</f>
        <v>2019</v>
      </c>
      <c r="H7" s="172">
        <f>IF('Input | General'!H14="Yes",'Input | General'!H13,"n/a")</f>
        <v>2020</v>
      </c>
      <c r="I7" s="95"/>
    </row>
    <row r="8" spans="2:23" ht="11.25" customHeight="1">
      <c r="C8" s="139" t="s">
        <v>88</v>
      </c>
      <c r="D8" s="157">
        <f>'Input | Inflation and Disc Rate'!G20</f>
        <v>3.9328628706946173E-2</v>
      </c>
      <c r="E8" s="158">
        <f>'Input | Inflation and Disc Rate'!H20</f>
        <v>3.8730571453602453E-2</v>
      </c>
      <c r="F8" s="158">
        <f>'Input | Inflation and Disc Rate'!I20</f>
        <v>3.8214665412155749E-2</v>
      </c>
      <c r="G8" s="158">
        <f>'Input | Inflation and Disc Rate'!J20</f>
        <v>3.7669116070430331E-2</v>
      </c>
      <c r="H8" s="159">
        <f>'Input | Inflation and Disc Rate'!K20</f>
        <v>3.6561951019833616E-2</v>
      </c>
      <c r="I8" s="95"/>
      <c r="J8" s="77"/>
      <c r="K8" s="77"/>
    </row>
    <row r="9" spans="2:23" ht="11.25" customHeight="1">
      <c r="C9" s="142" t="s">
        <v>89</v>
      </c>
      <c r="D9" s="158">
        <f>'Input | Inflation and Disc Rate'!G22</f>
        <v>5.4957630642388677E-2</v>
      </c>
      <c r="E9" s="158">
        <f>'Input | Inflation and Disc Rate'!H22</f>
        <v>4.9359442417313604E-2</v>
      </c>
      <c r="F9" s="158">
        <f>'Input | Inflation and Disc Rate'!I22</f>
        <v>5.8290639605208527E-2</v>
      </c>
      <c r="G9" s="158">
        <f>'Input | Inflation and Disc Rate'!J22</f>
        <v>5.9228637000529716E-2</v>
      </c>
      <c r="H9" s="159">
        <f>'Input | Inflation and Disc Rate'!K22</f>
        <v>5.3073557319264664E-2</v>
      </c>
      <c r="I9" s="95"/>
      <c r="J9" s="77"/>
      <c r="K9" s="77"/>
    </row>
    <row r="10" spans="2:23" ht="11.25" customHeight="1">
      <c r="C10" s="110" t="s">
        <v>13</v>
      </c>
      <c r="D10" s="160">
        <f>'Input | Reported Capex'!H$12*'Input | Inflation and Disc Rate'!G$15*(1+'Input | Inflation and Disc Rate'!G$20)^0.5</f>
        <v>139.0794881398007</v>
      </c>
      <c r="E10" s="161">
        <f>'Input | Reported Capex'!I$12*'Input | Inflation and Disc Rate'!H$15*(1+'Input | Inflation and Disc Rate'!H$20)^0.5</f>
        <v>179.54393568240496</v>
      </c>
      <c r="F10" s="161">
        <f>'Input | Reported Capex'!J$12*'Input | Inflation and Disc Rate'!I$15*(1+'Input | Inflation and Disc Rate'!I$20)^0.5</f>
        <v>149.04048832338631</v>
      </c>
      <c r="G10" s="161">
        <f>'Input | Reported Capex'!K$12*'Input | Inflation and Disc Rate'!J$15*(1+'Input | Inflation and Disc Rate'!J$20)^0.5</f>
        <v>149.9350924034176</v>
      </c>
      <c r="H10" s="162">
        <f>'Input | Reported Capex'!L$12*'Input | Inflation and Disc Rate'!K$15*(1+'Input | Inflation and Disc Rate'!K$20)^0.5</f>
        <v>133.2618790583046</v>
      </c>
      <c r="I10" s="95"/>
      <c r="J10" s="77"/>
      <c r="K10" s="77"/>
      <c r="N10" s="133"/>
    </row>
    <row r="11" spans="2:23" ht="11.25" customHeight="1">
      <c r="C11" s="110" t="s">
        <v>15</v>
      </c>
      <c r="D11" s="163">
        <f>'Input | Reported Capex'!H23*(1+D$9)^0.5</f>
        <v>110.36692960155017</v>
      </c>
      <c r="E11" s="161">
        <f>'Input | Reported Capex'!I23*(1+E$9)^0.5</f>
        <v>134.67860504623616</v>
      </c>
      <c r="F11" s="161">
        <f>'Input | Reported Capex'!J23*(1+F$9)^0.5</f>
        <v>128.44508587680991</v>
      </c>
      <c r="G11" s="161">
        <f>'Input | Reported Capex'!K23*(1+G$9)^0.5</f>
        <v>127.17571806897135</v>
      </c>
      <c r="H11" s="162">
        <f>'Input | Reported Capex'!L23*(1+H$9)^0.5</f>
        <v>126.13257350167662</v>
      </c>
      <c r="I11" s="95"/>
      <c r="J11" s="77"/>
      <c r="K11" s="77"/>
    </row>
    <row r="12" spans="2:23" s="19" customFormat="1" ht="11.25" customHeight="1">
      <c r="C12" s="110" t="s">
        <v>16</v>
      </c>
      <c r="D12" s="150">
        <f>(D10-D11)</f>
        <v>28.712558538250534</v>
      </c>
      <c r="E12" s="140">
        <f>(E10-E11)</f>
        <v>44.865330636168807</v>
      </c>
      <c r="F12" s="140">
        <f t="shared" ref="F12:H12" si="0">(F10-F11)</f>
        <v>20.595402446576401</v>
      </c>
      <c r="G12" s="140">
        <f t="shared" si="0"/>
        <v>22.75937433444625</v>
      </c>
      <c r="H12" s="143">
        <f t="shared" si="0"/>
        <v>7.1293055566279833</v>
      </c>
      <c r="I12" s="95"/>
      <c r="J12" s="77"/>
      <c r="K12" s="77"/>
    </row>
    <row r="13" spans="2:23" ht="11.25" customHeight="1">
      <c r="C13" s="110" t="s">
        <v>66</v>
      </c>
      <c r="D13" s="87"/>
      <c r="E13" s="140">
        <f>$D$12*$E$8</f>
        <v>1.1120538000814555</v>
      </c>
      <c r="F13" s="140">
        <f>$D$12*$F$8*(1+'Input | Inflation and Disc Rate'!H13)</f>
        <v>1.1084683981260197</v>
      </c>
      <c r="G13" s="140">
        <f>$D$12*$G$8*(1+'Input | Inflation and Disc Rate'!H13)*(1+'Input | Inflation and Disc Rate'!I13)</f>
        <v>1.1137724717989004</v>
      </c>
      <c r="H13" s="143">
        <f>$D$12*$H$8*(1+'Input | Inflation and Disc Rate'!H13)*(1+'Input | Inflation and Disc Rate'!I13)*(1+'Input | Inflation and Disc Rate'!J13)</f>
        <v>1.1034971996190439</v>
      </c>
      <c r="I13" s="95"/>
      <c r="J13" s="77"/>
      <c r="K13" s="77"/>
      <c r="L13" s="94"/>
      <c r="M13" s="94"/>
      <c r="N13" s="94"/>
      <c r="O13" s="94"/>
    </row>
    <row r="14" spans="2:23" ht="11.25" customHeight="1">
      <c r="C14" s="110" t="s">
        <v>67</v>
      </c>
      <c r="D14" s="87"/>
      <c r="E14" s="141"/>
      <c r="F14" s="140">
        <f>$E$12*F$8</f>
        <v>1.7145135988669318</v>
      </c>
      <c r="G14" s="140">
        <f>$E$12*G$8*(1+'Input | Inflation and Disc Rate'!I13)</f>
        <v>1.7227176274679457</v>
      </c>
      <c r="H14" s="143">
        <f>$E$12*H$8*(1+'Input | Inflation and Disc Rate'!I13)*(1+'Input | Inflation and Disc Rate'!J13)</f>
        <v>1.7068244419570133</v>
      </c>
      <c r="I14" s="95"/>
      <c r="J14" s="77"/>
      <c r="K14" s="77"/>
      <c r="L14" s="94"/>
      <c r="M14" s="94"/>
      <c r="N14" s="95"/>
      <c r="O14" s="95"/>
    </row>
    <row r="15" spans="2:23" ht="11.25" customHeight="1">
      <c r="C15" s="110" t="s">
        <v>68</v>
      </c>
      <c r="D15" s="87"/>
      <c r="E15" s="140"/>
      <c r="F15" s="140"/>
      <c r="G15" s="140">
        <f>$F$12*G$8</f>
        <v>0.77581060527731127</v>
      </c>
      <c r="H15" s="143">
        <f>$F$12*$H$8*(1+'Input | Inflation and Disc Rate'!J13)</f>
        <v>0.7686532501342378</v>
      </c>
      <c r="I15" s="95"/>
      <c r="J15" s="77"/>
      <c r="K15" s="77"/>
      <c r="L15" s="94"/>
      <c r="M15" s="94"/>
      <c r="N15" s="94"/>
      <c r="O15" s="94"/>
    </row>
    <row r="16" spans="2:23" ht="11.25" customHeight="1">
      <c r="C16" s="110" t="s">
        <v>69</v>
      </c>
      <c r="D16" s="87"/>
      <c r="E16" s="140"/>
      <c r="F16" s="140"/>
      <c r="G16" s="140"/>
      <c r="H16" s="143">
        <f>$G$12*$H$8</f>
        <v>0.83212712965808211</v>
      </c>
      <c r="I16" s="95"/>
      <c r="J16" s="77"/>
      <c r="K16" s="77"/>
      <c r="L16" s="94"/>
      <c r="M16" s="94"/>
      <c r="N16" s="94"/>
      <c r="O16" s="94"/>
    </row>
    <row r="17" spans="3:15" ht="11.25" customHeight="1">
      <c r="C17" s="110" t="s">
        <v>70</v>
      </c>
      <c r="D17" s="87"/>
      <c r="E17" s="140"/>
      <c r="F17" s="140"/>
      <c r="G17" s="140"/>
      <c r="H17" s="143"/>
      <c r="I17" s="95"/>
      <c r="J17" s="77"/>
      <c r="K17" s="77"/>
      <c r="L17" s="94"/>
      <c r="M17" s="94"/>
      <c r="N17" s="94"/>
      <c r="O17" s="94"/>
    </row>
    <row r="18" spans="3:15" s="19" customFormat="1" ht="11.25" customHeight="1">
      <c r="C18" s="111" t="s">
        <v>17</v>
      </c>
      <c r="D18" s="88">
        <f>SUM(D13:D17)</f>
        <v>0</v>
      </c>
      <c r="E18" s="144">
        <f>SUM(E13:E17)</f>
        <v>1.1120538000814555</v>
      </c>
      <c r="F18" s="144">
        <f t="shared" ref="F18:H18" si="1">SUM(F13:F17)</f>
        <v>2.8229819969929517</v>
      </c>
      <c r="G18" s="144">
        <f t="shared" si="1"/>
        <v>3.6123007045441571</v>
      </c>
      <c r="H18" s="145">
        <f t="shared" si="1"/>
        <v>4.4111020213683769</v>
      </c>
      <c r="I18" s="95"/>
      <c r="J18" s="77"/>
      <c r="K18" s="77"/>
      <c r="L18" s="94"/>
      <c r="M18" s="94"/>
      <c r="N18" s="94"/>
      <c r="O18" s="94"/>
    </row>
    <row r="19" spans="3:15" ht="11.25" customHeight="1">
      <c r="C19" s="139" t="s">
        <v>87</v>
      </c>
      <c r="D19" s="120">
        <f>E19*(1+E$9)</f>
        <v>1.2387328395097892</v>
      </c>
      <c r="E19" s="144">
        <f>F19*(1+F$9)</f>
        <v>1.1804657102586635</v>
      </c>
      <c r="F19" s="144">
        <f>G19*(1+G$9)</f>
        <v>1.1154456687805838</v>
      </c>
      <c r="G19" s="144">
        <f>H19*(1+H$9)</f>
        <v>1.0530735573192647</v>
      </c>
      <c r="H19" s="146">
        <v>1</v>
      </c>
      <c r="I19" s="95"/>
      <c r="J19" s="77"/>
      <c r="K19" s="77"/>
      <c r="L19" s="95"/>
      <c r="M19" s="95"/>
      <c r="N19" s="95"/>
      <c r="O19" s="95"/>
    </row>
    <row r="20" spans="3:15" s="19" customFormat="1" ht="11.25" customHeight="1">
      <c r="C20" s="200" t="s">
        <v>98</v>
      </c>
      <c r="D20" s="87">
        <f>D12*D19</f>
        <v>35.567189167678123</v>
      </c>
      <c r="E20" s="140">
        <f>E12*E19</f>
        <v>52.961984395414788</v>
      </c>
      <c r="F20" s="140">
        <f t="shared" ref="F20:H20" si="2">F12*F19</f>
        <v>22.973052455826686</v>
      </c>
      <c r="G20" s="140">
        <f t="shared" si="2"/>
        <v>23.967295292736083</v>
      </c>
      <c r="H20" s="143">
        <f t="shared" si="2"/>
        <v>7.1293055566279833</v>
      </c>
      <c r="I20" s="95"/>
      <c r="J20" s="77"/>
      <c r="K20" s="77"/>
      <c r="L20" s="95"/>
      <c r="M20" s="95"/>
      <c r="N20" s="95"/>
      <c r="O20" s="95"/>
    </row>
    <row r="21" spans="3:15" s="19" customFormat="1" ht="11.25" customHeight="1">
      <c r="C21" s="228" t="s">
        <v>126</v>
      </c>
      <c r="D21" s="88">
        <f>D18*D19</f>
        <v>0</v>
      </c>
      <c r="E21" s="144">
        <f>E18*E19</f>
        <v>1.3127413789590012</v>
      </c>
      <c r="F21" s="144">
        <f t="shared" ref="F21:H21" si="3">F18*F19</f>
        <v>3.1488830415913509</v>
      </c>
      <c r="G21" s="144">
        <f t="shared" si="3"/>
        <v>3.8040183530412017</v>
      </c>
      <c r="H21" s="145">
        <f t="shared" si="3"/>
        <v>4.4111020213683769</v>
      </c>
      <c r="I21" s="95"/>
      <c r="J21" s="77"/>
      <c r="K21" s="77"/>
      <c r="L21" s="95"/>
      <c r="M21" s="95"/>
      <c r="N21" s="95"/>
      <c r="O21" s="95"/>
    </row>
    <row r="22" spans="3:15" s="77" customFormat="1" ht="11.25" customHeight="1"/>
    <row r="23" spans="3:15" ht="11.25" customHeight="1">
      <c r="C23" s="114" t="s">
        <v>12</v>
      </c>
      <c r="D23" s="115"/>
      <c r="E23" s="116"/>
      <c r="F23" s="116"/>
      <c r="G23" s="116"/>
      <c r="H23" s="116"/>
      <c r="I23" s="95"/>
      <c r="J23" s="77"/>
      <c r="K23" s="77"/>
      <c r="L23" s="95"/>
      <c r="M23" s="95"/>
      <c r="N23" s="95"/>
      <c r="O23" s="95"/>
    </row>
    <row r="24" spans="3:15" ht="11.25" customHeight="1">
      <c r="C24" s="109" t="s">
        <v>9</v>
      </c>
      <c r="D24" s="173" t="str">
        <f>'Input | General'!$D$18</f>
        <v>2021-22</v>
      </c>
      <c r="E24" s="173" t="str">
        <f>'Input | General'!$E$18</f>
        <v>2022–23</v>
      </c>
      <c r="F24" s="173" t="str">
        <f>'Input | General'!$F$18</f>
        <v>2023–24</v>
      </c>
      <c r="G24" s="173" t="str">
        <f>'Input | General'!$G$18</f>
        <v>2024–25</v>
      </c>
      <c r="H24" s="174" t="str">
        <f>'Input | General'!$H$18</f>
        <v>2025–26</v>
      </c>
      <c r="I24" s="95"/>
      <c r="J24" s="77"/>
      <c r="K24" s="77"/>
      <c r="L24" s="95"/>
      <c r="M24" s="95"/>
      <c r="N24" s="95"/>
      <c r="O24" s="95"/>
    </row>
    <row r="25" spans="3:15" ht="11.25" customHeight="1">
      <c r="C25" s="112" t="s">
        <v>65</v>
      </c>
      <c r="D25" s="164">
        <f>'Input | Inflation and Disc Rate'!M$22</f>
        <v>4.8015846296787901E-2</v>
      </c>
      <c r="E25" s="164">
        <f>'Input | Inflation and Disc Rate'!N$22</f>
        <v>4.6882668433762431E-2</v>
      </c>
      <c r="F25" s="164">
        <f>'Input | Inflation and Disc Rate'!O$22</f>
        <v>4.5749490570736739E-2</v>
      </c>
      <c r="G25" s="164">
        <f>'Input | Inflation and Disc Rate'!P$22</f>
        <v>4.461631270771127E-2</v>
      </c>
      <c r="H25" s="165">
        <f>'Input | Inflation and Disc Rate'!Q$22</f>
        <v>4.34831348446858E-2</v>
      </c>
      <c r="I25" s="95"/>
      <c r="J25" s="77"/>
      <c r="K25" s="77"/>
      <c r="L25" s="95"/>
      <c r="M25" s="95"/>
      <c r="N25" s="95"/>
      <c r="O25" s="95"/>
    </row>
    <row r="26" spans="3:15" ht="11.25" customHeight="1">
      <c r="C26" s="113" t="s">
        <v>14</v>
      </c>
      <c r="D26" s="161">
        <f>'Input | Reported Capex'!H31</f>
        <v>23.458445540667277</v>
      </c>
      <c r="E26" s="161">
        <f>'Input | Reported Capex'!I31</f>
        <v>0</v>
      </c>
      <c r="F26" s="161">
        <f>'Input | Reported Capex'!J31</f>
        <v>0</v>
      </c>
      <c r="G26" s="161">
        <f>'Input | Reported Capex'!K31</f>
        <v>0</v>
      </c>
      <c r="H26" s="162">
        <f>'Input | Reported Capex'!L31</f>
        <v>0</v>
      </c>
      <c r="I26" s="95"/>
      <c r="J26" s="77"/>
      <c r="K26" s="77"/>
      <c r="L26" s="95"/>
      <c r="M26" s="95"/>
      <c r="N26" s="95"/>
      <c r="O26" s="95"/>
    </row>
    <row r="27" spans="3:15" ht="11.25" customHeight="1">
      <c r="C27" s="229" t="s">
        <v>124</v>
      </c>
      <c r="D27" s="195">
        <f>1/((1+D25)^(0.5)*(1+'Input | Inflation and Disc Rate'!$L$22))</f>
        <v>0.9539264010289269</v>
      </c>
      <c r="E27" s="193">
        <f>1/((1+E25)^(0.5)*(1+D25)*(1+'Input | Inflation and Disc Rate'!$L$22))</f>
        <v>0.91071384497091656</v>
      </c>
      <c r="F27" s="193">
        <f>1/((1+F25)^(0.5)*(1+E25)*(1+D25)*(1+'Input | Inflation and Disc Rate'!$L$22))</f>
        <v>0.87040044240656722</v>
      </c>
      <c r="G27" s="193">
        <f>1/((1+G25)^(0.5)*(1+F25)*(1+E25)*(1+D25)*(1+'Input | Inflation and Disc Rate'!$L$22))</f>
        <v>0.83277344944382503</v>
      </c>
      <c r="H27" s="194">
        <f>1/((1+H25)^(0.5)*(1+G25)*(1+F25)*(1+E25)*(1+D25)*(1+'Input | Inflation and Disc Rate'!$L$22))</f>
        <v>0.79763784531267912</v>
      </c>
      <c r="I27" s="95"/>
      <c r="J27" s="77"/>
      <c r="K27" s="77"/>
      <c r="L27" s="95"/>
      <c r="M27" s="95"/>
      <c r="N27" s="95"/>
      <c r="O27" s="95"/>
    </row>
    <row r="28" spans="3:15" ht="11.25" customHeight="1">
      <c r="C28" s="202" t="s">
        <v>97</v>
      </c>
      <c r="D28" s="89">
        <f>D26*D27</f>
        <v>22.377630528341815</v>
      </c>
      <c r="E28" s="89">
        <f t="shared" ref="E28:G28" si="4">E26*E27</f>
        <v>0</v>
      </c>
      <c r="F28" s="89">
        <f t="shared" si="4"/>
        <v>0</v>
      </c>
      <c r="G28" s="89">
        <f t="shared" si="4"/>
        <v>0</v>
      </c>
      <c r="H28" s="90">
        <f>H26*H27</f>
        <v>0</v>
      </c>
      <c r="I28" s="95"/>
      <c r="J28" s="77"/>
      <c r="K28" s="77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7"/>
      <c r="K29" s="77"/>
      <c r="L29" s="95"/>
      <c r="M29" s="95"/>
      <c r="N29" s="95"/>
      <c r="O29" s="95"/>
    </row>
    <row r="30" spans="3:15" ht="11.25" customHeight="1">
      <c r="C30" s="108" t="s">
        <v>18</v>
      </c>
      <c r="D30" s="117"/>
      <c r="E30" s="94"/>
      <c r="F30" s="94"/>
      <c r="G30" s="94"/>
      <c r="H30" s="94"/>
      <c r="I30" s="95"/>
      <c r="J30" s="77"/>
      <c r="K30" s="77"/>
      <c r="L30" s="95"/>
      <c r="M30" s="95"/>
      <c r="N30" s="95"/>
      <c r="O30" s="95"/>
    </row>
    <row r="31" spans="3:15" ht="11.25" customHeight="1">
      <c r="C31" s="110" t="s">
        <v>19</v>
      </c>
      <c r="D31" s="100">
        <f>SUM(D20:H20)-SUM(D28:H28)</f>
        <v>120.22119633994184</v>
      </c>
      <c r="E31" s="94"/>
      <c r="F31" s="94"/>
      <c r="G31" s="94"/>
      <c r="H31" s="94"/>
      <c r="I31" s="95"/>
      <c r="J31" s="77"/>
      <c r="K31" s="77"/>
      <c r="L31" s="95"/>
      <c r="M31" s="95"/>
      <c r="N31" s="95"/>
      <c r="O31" s="95"/>
    </row>
    <row r="32" spans="3:15" ht="11.25" customHeight="1">
      <c r="C32" s="110" t="s">
        <v>20</v>
      </c>
      <c r="D32" s="99">
        <v>0.3</v>
      </c>
      <c r="E32" s="94"/>
      <c r="F32" s="94"/>
      <c r="G32" s="94"/>
      <c r="H32" s="94"/>
      <c r="I32" s="95"/>
      <c r="J32" s="77"/>
      <c r="K32" s="77"/>
      <c r="L32" s="95"/>
      <c r="M32" s="95"/>
      <c r="N32" s="95"/>
      <c r="O32" s="95"/>
    </row>
    <row r="33" spans="1:16382" ht="11.25" customHeight="1">
      <c r="C33" s="110" t="s">
        <v>21</v>
      </c>
      <c r="D33" s="100">
        <f>(1-D32)*D31</f>
        <v>84.154837437959287</v>
      </c>
      <c r="E33" s="94"/>
      <c r="F33" s="94"/>
      <c r="G33" s="94"/>
      <c r="H33" s="94"/>
      <c r="I33" s="95"/>
      <c r="J33" s="77"/>
      <c r="K33" s="77"/>
      <c r="L33" s="95"/>
      <c r="M33" s="95"/>
      <c r="N33" s="95"/>
      <c r="O33" s="95"/>
    </row>
    <row r="34" spans="1:16382" ht="11.25" customHeight="1">
      <c r="C34" s="110" t="s">
        <v>22</v>
      </c>
      <c r="D34" s="100">
        <f>D32*D31</f>
        <v>36.066358901982554</v>
      </c>
      <c r="E34" s="94"/>
      <c r="F34" s="94"/>
      <c r="G34" s="94"/>
      <c r="H34" s="94"/>
      <c r="I34" s="95"/>
      <c r="J34" s="77"/>
      <c r="K34" s="77"/>
      <c r="L34" s="95"/>
      <c r="M34" s="95"/>
      <c r="N34" s="95"/>
      <c r="O34" s="95"/>
    </row>
    <row r="35" spans="1:16382" ht="11.25" customHeight="1">
      <c r="C35" s="110" t="s">
        <v>23</v>
      </c>
      <c r="D35" s="100">
        <f>SUM(D21:H21)</f>
        <v>12.676744794959932</v>
      </c>
      <c r="E35" s="94"/>
      <c r="F35" s="94"/>
      <c r="G35" s="94"/>
      <c r="H35" s="94"/>
      <c r="I35" s="95"/>
      <c r="J35" s="77"/>
      <c r="K35" s="77"/>
      <c r="L35" s="95"/>
      <c r="M35" s="95"/>
      <c r="N35" s="95"/>
      <c r="O35" s="95"/>
    </row>
    <row r="36" spans="1:16382" ht="11.25" customHeight="1">
      <c r="C36" s="201" t="s">
        <v>115</v>
      </c>
      <c r="D36" s="101">
        <f>D34-D35</f>
        <v>23.389614107022624</v>
      </c>
      <c r="E36" s="94"/>
      <c r="F36" s="186"/>
      <c r="G36" s="94"/>
      <c r="H36" s="94"/>
      <c r="I36" s="95"/>
      <c r="J36" s="77"/>
      <c r="K36" s="77"/>
      <c r="L36" s="95"/>
      <c r="M36" s="95"/>
      <c r="N36" s="95"/>
      <c r="O36" s="95"/>
    </row>
    <row r="37" spans="1:16382" ht="11.25" customHeight="1">
      <c r="C37" s="192" t="s">
        <v>114</v>
      </c>
      <c r="D37" s="196">
        <f>D36*(1+'Input | Inflation and Disc Rate'!L22)</f>
        <v>23.951033788845148</v>
      </c>
      <c r="E37" s="94"/>
      <c r="F37" s="186"/>
      <c r="G37" s="94"/>
      <c r="H37" s="94"/>
      <c r="I37" s="95"/>
      <c r="J37" s="77"/>
      <c r="K37" s="77"/>
      <c r="L37" s="95"/>
      <c r="M37" s="95"/>
      <c r="N37" s="95"/>
      <c r="O37" s="95"/>
    </row>
    <row r="38" spans="1:16382" ht="11.25" customHeight="1">
      <c r="D38" s="25"/>
      <c r="J38" s="2"/>
    </row>
    <row r="39" spans="1:16382" s="8" customFormat="1" ht="12" customHeight="1">
      <c r="B39" s="29" t="s">
        <v>40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1"/>
      <c r="D41" s="175" t="str">
        <f>'Input | General'!D18</f>
        <v>2021-22</v>
      </c>
      <c r="E41" s="175" t="str">
        <f>'Input | General'!E18</f>
        <v>2022–23</v>
      </c>
      <c r="F41" s="175" t="str">
        <f>'Input | General'!F18</f>
        <v>2023–24</v>
      </c>
      <c r="G41" s="175" t="str">
        <f>'Input | General'!G18</f>
        <v>2024–25</v>
      </c>
      <c r="H41" s="175" t="str">
        <f>'Input | General'!H18</f>
        <v>2025–26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98" t="s">
        <v>93</v>
      </c>
      <c r="D42" s="166">
        <f>1/(1+'Input | Inflation and Disc Rate'!M21)</f>
        <v>0.97675049820774584</v>
      </c>
      <c r="E42" s="166">
        <f>D42/(1+'Input | Inflation and Disc Rate'!N21)</f>
        <v>0.95507421952665639</v>
      </c>
      <c r="F42" s="166">
        <f>E42/(1+'Input | Inflation and Disc Rate'!O21)</f>
        <v>0.93489094054914157</v>
      </c>
      <c r="G42" s="166">
        <f>F42/(1+'Input | Inflation and Disc Rate'!P21)</f>
        <v>0.91612690674198027</v>
      </c>
      <c r="H42" s="167">
        <f>G42/(1+'Input | Inflation and Disc Rate'!Q21)</f>
        <v>0.8987143891175694</v>
      </c>
      <c r="I42" s="92"/>
      <c r="J42" s="92"/>
      <c r="K42" s="92"/>
      <c r="L42" s="92"/>
      <c r="M42" s="92"/>
      <c r="N42" s="92"/>
      <c r="O42" s="92"/>
    </row>
    <row r="43" spans="1:16382" s="30" customFormat="1" ht="11.25" customHeight="1">
      <c r="C43" s="230" t="str">
        <f>CONCATENATE("CESS Payment Per Year (NPV, $", 'Output | Models'!$F$8," million end of year)")</f>
        <v>CESS Payment Per Year (NPV, $2020–21 million end of year)</v>
      </c>
      <c r="D43" s="197">
        <f>D37/(SUM(D42:H42))</f>
        <v>5.1160402454676781</v>
      </c>
      <c r="E43" s="198">
        <f>D43</f>
        <v>5.1160402454676781</v>
      </c>
      <c r="F43" s="198">
        <f t="shared" ref="F43:H43" si="5">E43</f>
        <v>5.1160402454676781</v>
      </c>
      <c r="G43" s="198">
        <f t="shared" si="5"/>
        <v>5.1160402454676781</v>
      </c>
      <c r="H43" s="199">
        <f t="shared" si="5"/>
        <v>5.1160402454676781</v>
      </c>
      <c r="I43" s="92"/>
      <c r="J43" s="92"/>
      <c r="K43" s="92"/>
      <c r="L43" s="92"/>
      <c r="M43" s="92"/>
      <c r="N43" s="92"/>
      <c r="O43" s="92"/>
    </row>
    <row r="44" spans="1:16382" s="77" customFormat="1" ht="11.25" customHeight="1"/>
    <row r="45" spans="1:16382" s="30" customFormat="1" ht="11.25" customHeight="1">
      <c r="C45" s="181" t="str">
        <f>CONCATENATE("Total CESS Payment ($", 'Output | Models'!$F$8," million)")</f>
        <v>Total CESS Payment ($2020–21 million)</v>
      </c>
      <c r="D45" s="149">
        <f>SUM(D43:H43)</f>
        <v>25.580201227338392</v>
      </c>
      <c r="E45" s="69"/>
      <c r="F45" s="69"/>
      <c r="G45" s="69"/>
      <c r="H45" s="69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68"/>
      <c r="D46" s="97"/>
      <c r="E46" s="69"/>
      <c r="F46" s="69"/>
      <c r="G46" s="69"/>
      <c r="H46" s="69"/>
      <c r="I46" s="92"/>
      <c r="J46" s="92"/>
      <c r="K46" s="92"/>
      <c r="L46" s="92"/>
      <c r="M46" s="92"/>
      <c r="N46" s="92"/>
      <c r="O46" s="92"/>
    </row>
    <row r="47" spans="1:16382" s="30" customFormat="1" ht="11.25" customHeight="1"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6382" ht="12" customHeight="1">
      <c r="A48" s="29"/>
      <c r="B48" s="29" t="s">
        <v>29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39"/>
  <sheetViews>
    <sheetView showGridLines="0" zoomScaleNormal="100"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JEN 2021-26 Initial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42</v>
      </c>
      <c r="L1" s="151" t="s">
        <v>43</v>
      </c>
      <c r="M1" s="156" t="s">
        <v>31</v>
      </c>
      <c r="N1" s="225" t="s">
        <v>119</v>
      </c>
      <c r="R1" s="105"/>
      <c r="S1" s="77"/>
      <c r="T1" s="77"/>
      <c r="U1" s="77"/>
      <c r="V1" s="77"/>
      <c r="W1" s="77"/>
    </row>
    <row r="2" spans="1:27" s="37" customFormat="1" ht="13.5" thickBot="1">
      <c r="B2" s="38" t="s">
        <v>75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31"/>
      <c r="K3" s="231"/>
      <c r="L3" s="231"/>
      <c r="M3" s="42"/>
      <c r="N3" s="231"/>
      <c r="O3" s="231"/>
      <c r="P3" s="231"/>
      <c r="Q3" s="231"/>
      <c r="R3" s="231"/>
      <c r="S3" s="231"/>
      <c r="T3" s="231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51</v>
      </c>
      <c r="C4" s="44"/>
      <c r="D4" s="44"/>
      <c r="E4" s="44"/>
      <c r="F4" s="44"/>
      <c r="G4" s="46"/>
      <c r="H4" s="46"/>
      <c r="I4" s="46"/>
      <c r="J4" s="47" t="s">
        <v>52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54</v>
      </c>
      <c r="D6" s="55" t="s">
        <v>6</v>
      </c>
      <c r="E6" s="55" t="s">
        <v>47</v>
      </c>
      <c r="F6" s="55" t="s">
        <v>4</v>
      </c>
      <c r="H6" s="55"/>
      <c r="I6" s="55"/>
      <c r="J6" s="176" t="str">
        <f>'Calc | CESS Revenue Increments'!D41</f>
        <v>2021-22</v>
      </c>
      <c r="K6" s="176" t="str">
        <f>'Calc | CESS Revenue Increments'!E41</f>
        <v>2022–23</v>
      </c>
      <c r="L6" s="176" t="str">
        <f>'Calc | CESS Revenue Increments'!F41</f>
        <v>2023–24</v>
      </c>
      <c r="M6" s="176" t="str">
        <f>'Calc | CESS Revenue Increments'!G41</f>
        <v>2024–25</v>
      </c>
      <c r="N6" s="176" t="str">
        <f>'Calc | CESS Revenue Increments'!H41</f>
        <v>2025–26</v>
      </c>
      <c r="O6" s="56" t="s">
        <v>81</v>
      </c>
      <c r="P6" s="130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78</v>
      </c>
      <c r="D8" s="178" t="s">
        <v>53</v>
      </c>
      <c r="E8" s="52" t="s">
        <v>45</v>
      </c>
      <c r="F8" s="177" t="str">
        <f>IF(LEN(J6)&gt;4,CONCATENATE(LEFT(J6,4)-1&amp;"–"&amp;IF(RIGHT(J6,2)="00","99",IF(RIGHT(J6,2)-1&lt;10,"0","")&amp;RIGHT(J6,2)-1)),J6-1)</f>
        <v>2020–21</v>
      </c>
      <c r="H8" s="55"/>
      <c r="I8" s="55"/>
      <c r="J8" s="127">
        <f>'Calc | CESS Revenue Increments'!D43</f>
        <v>5.1160402454676781</v>
      </c>
      <c r="K8" s="127">
        <f>'Calc | CESS Revenue Increments'!E43</f>
        <v>5.1160402454676781</v>
      </c>
      <c r="L8" s="127">
        <f>'Calc | CESS Revenue Increments'!F43</f>
        <v>5.1160402454676781</v>
      </c>
      <c r="M8" s="127">
        <f>'Calc | CESS Revenue Increments'!G43</f>
        <v>5.1160402454676781</v>
      </c>
      <c r="N8" s="127">
        <f>'Calc | CESS Revenue Increments'!H43</f>
        <v>5.1160402454676781</v>
      </c>
      <c r="O8" s="60">
        <f>SUM(J8:N8)</f>
        <v>25.580201227338392</v>
      </c>
      <c r="P8" s="131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E9" s="55"/>
      <c r="F9" s="55"/>
      <c r="G9" s="55"/>
      <c r="H9" s="55"/>
      <c r="I9" s="55"/>
      <c r="N9" s="59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E10" s="55"/>
      <c r="F10" s="55"/>
      <c r="G10" s="55"/>
      <c r="H10" s="55"/>
      <c r="I10" s="55"/>
      <c r="J10" s="128"/>
      <c r="K10" s="128"/>
      <c r="L10" s="128"/>
      <c r="M10" s="128"/>
      <c r="N10" s="128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2.75">
      <c r="A11" s="44"/>
      <c r="B11" s="45" t="s">
        <v>29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</sheetData>
  <mergeCells count="2">
    <mergeCell ref="J3:L3"/>
    <mergeCell ref="N3:T3"/>
  </mergeCell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2020-01-20T23:46:52Z</dcterms:created>
  <dcterms:modified xsi:type="dcterms:W3CDTF">2020-01-28T01:24:08Z</dcterms:modified>
  <cp:category/>
  <cp:contentStatus/>
</cp:coreProperties>
</file>