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5" documentId="8_{7B3F9BAD-6675-43FC-A828-4FBA7B3809F1}" xr6:coauthVersionLast="45" xr6:coauthVersionMax="45" xr10:uidLastSave="{0BE337F8-053C-4ED5-92BC-AEDDDB05DC5C}"/>
  <bookViews>
    <workbookView xWindow="-120" yWindow="-120" windowWidth="29040" windowHeight="16440" activeTab="4" xr2:uid="{3F631075-E5A0-427F-8408-BD7F5564D12A}"/>
  </bookViews>
  <sheets>
    <sheet name="Input|Inflation" sheetId="10" r:id="rId1"/>
    <sheet name="Input|Cost escalation" sheetId="1" r:id="rId2"/>
    <sheet name="Input|Fault test workings" sheetId="12" r:id="rId3"/>
    <sheet name="Input|Forecast" sheetId="2" r:id="rId4"/>
    <sheet name="Output|Summary" sheetId="6" r:id="rId5"/>
    <sheet name="Output|Table for report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2" l="1"/>
  <c r="K8" i="2"/>
  <c r="J8" i="2"/>
  <c r="H23" i="12"/>
  <c r="J26" i="12"/>
  <c r="H15" i="12"/>
  <c r="H14" i="12"/>
  <c r="H13" i="12"/>
  <c r="J13" i="12" s="1"/>
  <c r="J14" i="12"/>
  <c r="C38" i="2"/>
  <c r="C37" i="2"/>
  <c r="C36" i="2"/>
  <c r="C35" i="2"/>
  <c r="C34" i="2"/>
  <c r="C33" i="2"/>
  <c r="C32" i="2"/>
  <c r="C31" i="2"/>
  <c r="L38" i="2" l="1"/>
  <c r="K38" i="2"/>
  <c r="J38" i="2"/>
  <c r="I38" i="2"/>
  <c r="H38" i="2"/>
  <c r="L37" i="2"/>
  <c r="K37" i="2"/>
  <c r="J37" i="2"/>
  <c r="I37" i="2"/>
  <c r="H37" i="2"/>
  <c r="L36" i="2"/>
  <c r="K36" i="2"/>
  <c r="J36" i="2"/>
  <c r="I36" i="2"/>
  <c r="H36" i="2"/>
  <c r="L35" i="2"/>
  <c r="K35" i="2"/>
  <c r="J35" i="2"/>
  <c r="I35" i="2"/>
  <c r="H35" i="2"/>
  <c r="L34" i="2"/>
  <c r="K34" i="2"/>
  <c r="J34" i="2"/>
  <c r="I34" i="2"/>
  <c r="H34" i="2"/>
  <c r="L33" i="2"/>
  <c r="K33" i="2"/>
  <c r="J33" i="2"/>
  <c r="I33" i="2"/>
  <c r="H33" i="2"/>
  <c r="I32" i="2"/>
  <c r="H32" i="2"/>
  <c r="L31" i="2"/>
  <c r="K31" i="2"/>
  <c r="J31" i="2"/>
  <c r="I31" i="2"/>
  <c r="H31" i="2"/>
  <c r="C10" i="6"/>
  <c r="J27" i="12" l="1"/>
  <c r="J24" i="12"/>
  <c r="J23" i="12"/>
  <c r="H21" i="12"/>
  <c r="J21" i="12" s="1"/>
  <c r="H20" i="12"/>
  <c r="J20" i="12" s="1"/>
  <c r="H19" i="12"/>
  <c r="J19" i="12" s="1"/>
  <c r="H17" i="12"/>
  <c r="J17" i="12" s="1"/>
  <c r="J15" i="12"/>
  <c r="H12" i="12"/>
  <c r="J12" i="12" s="1"/>
  <c r="H11" i="12"/>
  <c r="J11" i="12" s="1"/>
  <c r="H10" i="12"/>
  <c r="J10" i="12" s="1"/>
  <c r="J29" i="12" l="1"/>
  <c r="J30" i="12" l="1"/>
  <c r="J31" i="12" l="1"/>
  <c r="J33" i="12" s="1"/>
  <c r="J37" i="12" l="1"/>
  <c r="J36" i="12"/>
  <c r="J38" i="12" l="1"/>
  <c r="K32" i="2" s="1"/>
  <c r="J6" i="1"/>
  <c r="I6" i="1"/>
  <c r="H6" i="1"/>
  <c r="G6" i="1"/>
  <c r="F6" i="1"/>
  <c r="L32" i="2" l="1"/>
  <c r="H4" i="9" s="1"/>
  <c r="J32" i="2"/>
  <c r="F4" i="9" s="1"/>
  <c r="F9" i="9"/>
  <c r="F5" i="9"/>
  <c r="F6" i="9"/>
  <c r="F8" i="9"/>
  <c r="F11" i="9"/>
  <c r="F7" i="9"/>
  <c r="F10" i="9"/>
  <c r="E10" i="9"/>
  <c r="E6" i="9"/>
  <c r="E11" i="9"/>
  <c r="E9" i="9"/>
  <c r="E5" i="9"/>
  <c r="E8" i="9"/>
  <c r="E4" i="9"/>
  <c r="E7" i="9"/>
  <c r="G8" i="9"/>
  <c r="G4" i="9"/>
  <c r="G10" i="9"/>
  <c r="G6" i="9"/>
  <c r="G11" i="9"/>
  <c r="G7" i="9"/>
  <c r="G9" i="9"/>
  <c r="G5" i="9"/>
  <c r="D11" i="9"/>
  <c r="D7" i="9"/>
  <c r="D9" i="9"/>
  <c r="D5" i="9"/>
  <c r="D10" i="9"/>
  <c r="D6" i="9"/>
  <c r="D8" i="9"/>
  <c r="D4" i="9"/>
  <c r="H11" i="9"/>
  <c r="H7" i="9"/>
  <c r="H8" i="9"/>
  <c r="H10" i="9"/>
  <c r="H6" i="9"/>
  <c r="H9" i="9"/>
  <c r="H5" i="9"/>
  <c r="H40" i="2"/>
  <c r="D12" i="9" l="1"/>
  <c r="E12" i="9"/>
  <c r="G12" i="9"/>
  <c r="H12" i="9"/>
  <c r="F12" i="9"/>
  <c r="I40" i="2"/>
  <c r="K40" i="2"/>
  <c r="L40" i="2"/>
  <c r="J40" i="2"/>
  <c r="C12" i="6" l="1"/>
  <c r="P32" i="2"/>
  <c r="L42" i="2"/>
  <c r="K42" i="2"/>
  <c r="J42" i="2"/>
  <c r="I42" i="2"/>
  <c r="H42" i="2"/>
  <c r="P38" i="2"/>
  <c r="P37" i="2"/>
  <c r="P36" i="2"/>
  <c r="P35" i="2"/>
  <c r="P34" i="2"/>
  <c r="P33" i="2"/>
  <c r="P31" i="2"/>
  <c r="R12" i="6" l="1"/>
  <c r="R10" i="6"/>
  <c r="S12" i="6"/>
  <c r="S10" i="6"/>
  <c r="P12" i="6"/>
  <c r="P10" i="6"/>
  <c r="Q12" i="6"/>
  <c r="Q10" i="6"/>
  <c r="O12" i="6"/>
  <c r="O10" i="6"/>
  <c r="P26" i="2"/>
  <c r="D5" i="6" s="1"/>
  <c r="R42" i="2"/>
  <c r="F14" i="9" l="1"/>
  <c r="H14" i="9"/>
  <c r="E14" i="9"/>
  <c r="G14" i="9"/>
  <c r="U10" i="6"/>
  <c r="D14" i="9"/>
  <c r="U12" i="6"/>
</calcChain>
</file>

<file path=xl/sharedStrings.xml><?xml version="1.0" encoding="utf-8"?>
<sst xmlns="http://schemas.openxmlformats.org/spreadsheetml/2006/main" count="204" uniqueCount="122">
  <si>
    <t>Forecast</t>
  </si>
  <si>
    <t>Unit</t>
  </si>
  <si>
    <t>Basis</t>
  </si>
  <si>
    <t>Timing</t>
  </si>
  <si>
    <t>$millions</t>
  </si>
  <si>
    <t>Real 2018</t>
  </si>
  <si>
    <t>Mid Year</t>
  </si>
  <si>
    <t>FY22</t>
  </si>
  <si>
    <t>FY23</t>
  </si>
  <si>
    <t>FY24</t>
  </si>
  <si>
    <t>FY25</t>
  </si>
  <si>
    <t>FY26</t>
  </si>
  <si>
    <t>Total FY22-FY26</t>
  </si>
  <si>
    <t>Opex step change title:</t>
  </si>
  <si>
    <t>Labour proportion (%)</t>
  </si>
  <si>
    <t>Source</t>
  </si>
  <si>
    <t>Real labour cost escalation</t>
  </si>
  <si>
    <t>Opex Step Change Forecast - output</t>
  </si>
  <si>
    <t>Opex Step Change Forecast - cost escalation</t>
  </si>
  <si>
    <t>Escalator check:</t>
  </si>
  <si>
    <t>Section check:</t>
  </si>
  <si>
    <t>$'s</t>
  </si>
  <si>
    <t>Notes</t>
  </si>
  <si>
    <t>Insulation testing</t>
  </si>
  <si>
    <t>Data analysis and reports</t>
  </si>
  <si>
    <t>Network balancing</t>
  </si>
  <si>
    <t>Equipment maintenance</t>
  </si>
  <si>
    <t>REFCL testing and maintenance</t>
  </si>
  <si>
    <t xml:space="preserve">Primary earth fault testing </t>
  </si>
  <si>
    <t>Calculated</t>
  </si>
  <si>
    <t>Labour Escalation Index</t>
  </si>
  <si>
    <t>Incremental cumulative escalation factor</t>
  </si>
  <si>
    <t>Activity</t>
  </si>
  <si>
    <t>RY22</t>
  </si>
  <si>
    <t>RY23</t>
  </si>
  <si>
    <t>RY24</t>
  </si>
  <si>
    <t>RY25</t>
  </si>
  <si>
    <t>RY26</t>
  </si>
  <si>
    <t>Primary earth fault testing</t>
  </si>
  <si>
    <t xml:space="preserve">Insulation testing </t>
  </si>
  <si>
    <t>Data analysis and reporting</t>
  </si>
  <si>
    <t xml:space="preserve">Network balancing </t>
  </si>
  <si>
    <t xml:space="preserve">Change management </t>
  </si>
  <si>
    <t>Training</t>
  </si>
  <si>
    <t>Development of test equipment specifications</t>
  </si>
  <si>
    <t>Total</t>
  </si>
  <si>
    <t>Inflation escalator - real June 2018 dollars to real June 2021 dollars</t>
  </si>
  <si>
    <t>Direct expenditure items</t>
  </si>
  <si>
    <t>Opex step change forecast</t>
  </si>
  <si>
    <t>BIS Labour escalation from 2018 to nominal</t>
  </si>
  <si>
    <t>CPI escalation</t>
  </si>
  <si>
    <t>Development of specifications and procurement of trest truck and gear</t>
  </si>
  <si>
    <t>Notes and assumptions</t>
  </si>
  <si>
    <t>Raw activity cost input - real June 2018 dollars, excluding real price escalation</t>
  </si>
  <si>
    <t>Development of specifications and procurement arrangements (e.g. liaison with vendor on fabrication) for test truck and equipment, as these are not off-the-shelf products.</t>
  </si>
  <si>
    <t>Assumed 20 days @ $1500/day as this activity would need to be undertaken by an external consultant with specialist knowledge of this equipment and requirements.</t>
  </si>
  <si>
    <t>Inflation escalator - real June 2018 dollars to real December 2020 dollars</t>
  </si>
  <si>
    <t>Team #1 - at fault site</t>
  </si>
  <si>
    <t>Fault truck crew</t>
  </si>
  <si>
    <t>Break-down of estimated activities required per feeder test</t>
  </si>
  <si>
    <t>Hrs required per feeder test</t>
  </si>
  <si>
    <t>Tester in charge</t>
  </si>
  <si>
    <t>Testers</t>
  </si>
  <si>
    <t>Team #2 - control centre</t>
  </si>
  <si>
    <t>Dedicated controller</t>
  </si>
  <si>
    <t>Team #3 - at zone substation</t>
  </si>
  <si>
    <t>Engineer</t>
  </si>
  <si>
    <t>Compliance engineers</t>
  </si>
  <si>
    <t>Other cost items</t>
  </si>
  <si>
    <t>EWP hire</t>
  </si>
  <si>
    <t>Travel time (1 hr per test)</t>
  </si>
  <si>
    <t>One day will be required to test one feeder and will include creating high impedence and low impedence tests on each phase thereby carrying out six tests on the day.</t>
  </si>
  <si>
    <t>Traffic management</t>
  </si>
  <si>
    <t>Number of resources required on test</t>
  </si>
  <si>
    <t>$ rate/hr</t>
  </si>
  <si>
    <t>$ Total cost</t>
  </si>
  <si>
    <t>Sub-total per feeder test</t>
  </si>
  <si>
    <t xml:space="preserve">Allowance for environmental factors </t>
  </si>
  <si>
    <t>20% allowance for test not being able to be completed due to any reason, such as weather</t>
  </si>
  <si>
    <t>Pre-testing activities</t>
  </si>
  <si>
    <t>Assumed 50% of activities will need to be performed as a pre-test prior to attendance of ESV at actual test</t>
  </si>
  <si>
    <t>Total for fault testing per feeder</t>
  </si>
  <si>
    <t>Analysis of data from annual testing and business-as-usual REFCL operations. Assumed total effort of 9 weeks (337.5 hrs @ $124.44/hr) across the year. Required from FY24 onwards</t>
  </si>
  <si>
    <t>Estimate of additional maintenance cost for equipment added as a result of network hardening and balancing, based on high-level discussion with other DNSPs.</t>
  </si>
  <si>
    <t xml:space="preserve">Making changes to work instructions, O&amp;M procedures, safety procedures and asset management strategies to integrate advanced REFCL equipment (as JEN does not have any of these assets currently). </t>
  </si>
  <si>
    <t>Training and capability building</t>
  </si>
  <si>
    <t>Change manangement and documentation</t>
  </si>
  <si>
    <t>Provision of training to staff and contractors who need to work in proximity to advanced REFCL equipment (as JEN does not have any of these assets currently).</t>
  </si>
  <si>
    <t>Real 2020</t>
  </si>
  <si>
    <t>End Year</t>
  </si>
  <si>
    <t>1 hour travel per site resource per test</t>
  </si>
  <si>
    <t>Updated 14 Oct 20</t>
  </si>
  <si>
    <t>Inflation escalator - real June 2020 dollars to real June 2018 dollars</t>
  </si>
  <si>
    <t>Total FY22-26</t>
  </si>
  <si>
    <r>
      <t xml:space="preserve">Output for step change report - Table x - Opex cost estimate for REFCL maintenance and testing (June 2021 dollars, </t>
    </r>
    <r>
      <rPr>
        <b/>
        <sz val="8"/>
        <color rgb="FFFF0000"/>
        <rFont val="Arial"/>
        <family val="2"/>
      </rPr>
      <t>$M</t>
    </r>
    <r>
      <rPr>
        <b/>
        <sz val="8"/>
        <color rgb="FFFFFFFF"/>
        <rFont val="Arial"/>
        <family val="2"/>
      </rPr>
      <t>)</t>
    </r>
  </si>
  <si>
    <t>Raw activity cost input - real June 2020 dollars, excluding real price escalation</t>
  </si>
  <si>
    <t>Opex Step Change Forecast - real June 2018 dollars</t>
  </si>
  <si>
    <t>Assumed $20k per REFCL per discussion with other DNSPs. 1 x REFCL at COO and 1 x REFCL for KLO22. Required from FY24 onwards</t>
  </si>
  <si>
    <t>Network monitoring. Assumed 0.5 day per week for 11 months (24 days) and 2 weeks (10 days) prior to compliance testing = total 255 hrs p.a. Allowed for 2 man crew @ $130/hr (including fleet) = $66,300 p.a.. Required from from FY24 onwards</t>
  </si>
  <si>
    <t>Initial training to occur as part of REFCL capital works projects.</t>
  </si>
  <si>
    <t>Initial documentation changes to occur as part of REFCL capital works projects.</t>
  </si>
  <si>
    <t>For annual documentation review, updates and communications required for FY24 onwards, assumed 5 days p.a. @ $120/hr = total $4800 p.a.</t>
  </si>
  <si>
    <t>For annual refresher training required for FY24 onwards, assumed 5 days @ $1500/day for training prepratation and delivery, plus 8 hours for trainees (10 staff @ $120/hr and 1 staff @ 80/hr) plus $2000 for documentation and facilities.</t>
  </si>
  <si>
    <t>Number of feeders - GVE</t>
  </si>
  <si>
    <t>Number of feeders - KLO</t>
  </si>
  <si>
    <t>Line crew</t>
  </si>
  <si>
    <t>Field crew</t>
  </si>
  <si>
    <t>Underground crew</t>
  </si>
  <si>
    <t>Test connections</t>
  </si>
  <si>
    <t>To attend to any unplanned faults</t>
  </si>
  <si>
    <t>To monitor all switching and devices such as sectionalisers</t>
  </si>
  <si>
    <t>Record data</t>
  </si>
  <si>
    <t>Required for connections during the tests</t>
  </si>
  <si>
    <t>Network access</t>
  </si>
  <si>
    <t>Switching instructions</t>
  </si>
  <si>
    <t>Refer to sheet 'Input|Fault test workings'. Required annually from FY24 onwards.</t>
  </si>
  <si>
    <t>This is a mandated annual compliance test. As per the current practice ESV witness tests on every feeder before the bushfire season.</t>
  </si>
  <si>
    <t>Undertake the connections at test points</t>
  </si>
  <si>
    <t>Supervise the testing at site</t>
  </si>
  <si>
    <t>Carry out the testing</t>
  </si>
  <si>
    <t>Be available to manage testing issues at ZSS</t>
  </si>
  <si>
    <t>Supervise &amp; oversee any issues at ZSS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</si>
</sst>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(#,##0.0_);\(#,##0.0\);_(&quot;-&quot;_)"/>
    <numFmt numFmtId="166" formatCode="_(#,##0.00_);\(#,##0.00\);_(&quot;-&quot;_)"/>
    <numFmt numFmtId="167" formatCode="0.000"/>
    <numFmt numFmtId="168" formatCode="0.0"/>
    <numFmt numFmtId="169" formatCode="0.0000"/>
    <numFmt numFmtId="170" formatCode="_(#,##0_);\(#,##0\);_(&quot;-&quot;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rgb="FF3B3C3E"/>
      <name val="Arial"/>
      <family val="2"/>
    </font>
    <font>
      <sz val="8"/>
      <color rgb="FFFFFFFF"/>
      <name val="Arial"/>
      <family val="2"/>
    </font>
    <font>
      <b/>
      <sz val="8"/>
      <color rgb="FFFFFFFF"/>
      <name val="Arial"/>
      <family val="2"/>
    </font>
    <font>
      <i/>
      <sz val="8"/>
      <color rgb="FFFFFFFF"/>
      <name val="Arial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  <font>
      <i/>
      <sz val="8"/>
      <color rgb="FF595959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3B3C3E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medium">
        <color rgb="FFE7E6E6"/>
      </right>
      <top style="medium">
        <color rgb="FFE7E6E6"/>
      </top>
      <bottom style="thick">
        <color rgb="FFE7E6E6"/>
      </bottom>
      <diagonal/>
    </border>
    <border>
      <left/>
      <right/>
      <top style="medium">
        <color rgb="FFE7E6E6"/>
      </top>
      <bottom style="thick">
        <color rgb="FFE7E6E6"/>
      </bottom>
      <diagonal/>
    </border>
    <border>
      <left/>
      <right style="medium">
        <color rgb="FFE7E6E6"/>
      </right>
      <top/>
      <bottom style="medium">
        <color rgb="FFE7E6E6"/>
      </bottom>
      <diagonal/>
    </border>
    <border>
      <left/>
      <right/>
      <top/>
      <bottom style="medium">
        <color rgb="FFE7E6E6"/>
      </bottom>
      <diagonal/>
    </border>
    <border>
      <left/>
      <right style="medium">
        <color rgb="FFE7E6E6"/>
      </right>
      <top/>
      <bottom style="thick">
        <color rgb="FF44546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E7E6E6"/>
      </left>
      <right/>
      <top style="medium">
        <color rgb="FFE7E6E6"/>
      </top>
      <bottom style="thick">
        <color rgb="FF44546A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164" fontId="9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vertical="center"/>
    </xf>
    <xf numFmtId="164" fontId="10" fillId="0" borderId="1" xfId="0" applyNumberFormat="1" applyFont="1" applyFill="1" applyBorder="1"/>
    <xf numFmtId="164" fontId="11" fillId="0" borderId="0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left" indent="1"/>
    </xf>
    <xf numFmtId="164" fontId="3" fillId="0" borderId="0" xfId="0" applyNumberFormat="1" applyFont="1" applyFill="1" applyBorder="1" applyAlignment="1">
      <alignment horizontal="center"/>
    </xf>
    <xf numFmtId="165" fontId="8" fillId="0" borderId="2" xfId="1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0" fontId="7" fillId="0" borderId="6" xfId="0" applyFont="1" applyFill="1" applyBorder="1"/>
    <xf numFmtId="0" fontId="3" fillId="0" borderId="2" xfId="0" applyNumberFormat="1" applyFont="1" applyFill="1" applyBorder="1" applyAlignment="1">
      <alignment horizontal="left"/>
    </xf>
    <xf numFmtId="0" fontId="12" fillId="0" borderId="8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0" fontId="12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center"/>
    </xf>
    <xf numFmtId="166" fontId="8" fillId="0" borderId="2" xfId="1" applyNumberFormat="1" applyFont="1" applyFill="1" applyBorder="1" applyAlignment="1">
      <alignment horizontal="center"/>
    </xf>
    <xf numFmtId="0" fontId="0" fillId="0" borderId="0" xfId="0" applyFill="1"/>
    <xf numFmtId="9" fontId="8" fillId="4" borderId="2" xfId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left"/>
    </xf>
    <xf numFmtId="167" fontId="8" fillId="0" borderId="2" xfId="1" applyNumberFormat="1" applyFont="1" applyFill="1" applyBorder="1" applyAlignment="1">
      <alignment horizontal="center"/>
    </xf>
    <xf numFmtId="10" fontId="8" fillId="0" borderId="2" xfId="1" applyNumberFormat="1" applyFont="1" applyFill="1" applyBorder="1" applyAlignment="1">
      <alignment horizontal="center"/>
    </xf>
    <xf numFmtId="167" fontId="8" fillId="4" borderId="2" xfId="1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168" fontId="0" fillId="0" borderId="0" xfId="0" applyNumberFormat="1"/>
    <xf numFmtId="2" fontId="13" fillId="0" borderId="13" xfId="0" applyNumberFormat="1" applyFont="1" applyBorder="1" applyAlignment="1">
      <alignment horizontal="right" vertical="center" wrapText="1"/>
    </xf>
    <xf numFmtId="2" fontId="13" fillId="0" borderId="14" xfId="0" applyNumberFormat="1" applyFont="1" applyBorder="1" applyAlignment="1">
      <alignment horizontal="right" vertical="center" wrapText="1"/>
    </xf>
    <xf numFmtId="2" fontId="15" fillId="0" borderId="15" xfId="0" applyNumberFormat="1" applyFont="1" applyBorder="1" applyAlignment="1">
      <alignment horizontal="right" vertical="center" wrapText="1"/>
    </xf>
    <xf numFmtId="0" fontId="12" fillId="0" borderId="16" xfId="0" applyNumberFormat="1" applyFont="1" applyFill="1" applyBorder="1" applyAlignment="1">
      <alignment horizontal="left"/>
    </xf>
    <xf numFmtId="164" fontId="10" fillId="0" borderId="6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2" fontId="15" fillId="0" borderId="17" xfId="0" applyNumberFormat="1" applyFont="1" applyBorder="1" applyAlignment="1">
      <alignment horizontal="right" vertical="center" wrapText="1"/>
    </xf>
    <xf numFmtId="0" fontId="17" fillId="0" borderId="0" xfId="0" applyFont="1" applyFill="1"/>
    <xf numFmtId="169" fontId="17" fillId="0" borderId="0" xfId="0" applyNumberFormat="1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/>
    <xf numFmtId="170" fontId="8" fillId="3" borderId="5" xfId="1" applyNumberFormat="1" applyFont="1" applyFill="1" applyBorder="1" applyAlignment="1">
      <alignment horizontal="center"/>
    </xf>
    <xf numFmtId="170" fontId="8" fillId="3" borderId="2" xfId="1" applyNumberFormat="1" applyFont="1" applyFill="1" applyBorder="1" applyAlignment="1">
      <alignment horizontal="center"/>
    </xf>
    <xf numFmtId="170" fontId="8" fillId="0" borderId="2" xfId="1" applyNumberFormat="1" applyFont="1" applyFill="1" applyBorder="1" applyAlignment="1">
      <alignment horizontal="center"/>
    </xf>
    <xf numFmtId="170" fontId="10" fillId="0" borderId="10" xfId="1" applyNumberFormat="1" applyFont="1" applyFill="1" applyBorder="1" applyAlignment="1">
      <alignment horizontal="center"/>
    </xf>
    <xf numFmtId="0" fontId="0" fillId="0" borderId="0" xfId="0" applyFont="1"/>
    <xf numFmtId="0" fontId="17" fillId="0" borderId="0" xfId="0" applyFont="1" applyBorder="1"/>
    <xf numFmtId="0" fontId="18" fillId="0" borderId="1" xfId="0" applyFont="1" applyBorder="1" applyAlignment="1">
      <alignment horizontal="center" wrapText="1"/>
    </xf>
    <xf numFmtId="1" fontId="17" fillId="0" borderId="0" xfId="0" applyNumberFormat="1" applyFont="1"/>
    <xf numFmtId="0" fontId="17" fillId="0" borderId="0" xfId="0" applyFont="1" applyAlignment="1">
      <alignment horizontal="left"/>
    </xf>
    <xf numFmtId="0" fontId="18" fillId="0" borderId="1" xfId="0" applyFont="1" applyBorder="1" applyAlignment="1"/>
    <xf numFmtId="0" fontId="18" fillId="0" borderId="1" xfId="0" applyFont="1" applyBorder="1" applyAlignment="1">
      <alignment horizontal="center"/>
    </xf>
    <xf numFmtId="1" fontId="17" fillId="0" borderId="0" xfId="0" applyNumberFormat="1" applyFont="1" applyFill="1"/>
    <xf numFmtId="164" fontId="17" fillId="0" borderId="0" xfId="2" applyNumberFormat="1" applyFont="1"/>
    <xf numFmtId="164" fontId="17" fillId="0" borderId="0" xfId="2" applyNumberFormat="1" applyFont="1" applyFill="1"/>
    <xf numFmtId="164" fontId="17" fillId="0" borderId="9" xfId="2" applyNumberFormat="1" applyFont="1" applyBorder="1"/>
    <xf numFmtId="164" fontId="0" fillId="0" borderId="0" xfId="2" applyNumberFormat="1" applyFont="1"/>
    <xf numFmtId="164" fontId="17" fillId="0" borderId="0" xfId="2" applyNumberFormat="1" applyFont="1" applyBorder="1"/>
    <xf numFmtId="169" fontId="17" fillId="0" borderId="0" xfId="0" applyNumberFormat="1" applyFont="1" applyAlignment="1">
      <alignment horizontal="center"/>
    </xf>
    <xf numFmtId="166" fontId="10" fillId="0" borderId="2" xfId="1" applyNumberFormat="1" applyFont="1" applyFill="1" applyBorder="1" applyAlignment="1">
      <alignment horizontal="center"/>
    </xf>
    <xf numFmtId="0" fontId="19" fillId="0" borderId="0" xfId="0" applyFont="1"/>
    <xf numFmtId="164" fontId="3" fillId="0" borderId="19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164" fontId="18" fillId="0" borderId="9" xfId="2" applyNumberFormat="1" applyFont="1" applyBorder="1"/>
    <xf numFmtId="164" fontId="10" fillId="0" borderId="18" xfId="0" applyNumberFormat="1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3" fillId="3" borderId="3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1E01-DCFB-4890-AFE6-43E8B88EF096}">
  <sheetPr>
    <tabColor theme="7" tint="0.59999389629810485"/>
  </sheetPr>
  <dimension ref="A1:AT15"/>
  <sheetViews>
    <sheetView showGridLines="0" workbookViewId="0">
      <selection activeCell="F4" sqref="F4"/>
    </sheetView>
  </sheetViews>
  <sheetFormatPr defaultRowHeight="15" x14ac:dyDescent="0.25"/>
  <cols>
    <col min="1" max="1" width="3" customWidth="1"/>
    <col min="2" max="2" width="3.28515625" customWidth="1"/>
    <col min="3" max="3" width="54.7109375" bestFit="1" customWidth="1"/>
  </cols>
  <sheetData>
    <row r="1" spans="1:46" x14ac:dyDescent="0.25">
      <c r="A1" s="2"/>
      <c r="B1" s="3" t="s">
        <v>50</v>
      </c>
      <c r="C1" s="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25">
      <c r="A2" s="6"/>
      <c r="B2" s="6"/>
      <c r="L2" s="6"/>
      <c r="M2" s="6"/>
      <c r="N2" s="6"/>
      <c r="O2" s="6"/>
      <c r="P2" s="6"/>
    </row>
    <row r="3" spans="1:46" x14ac:dyDescent="0.25">
      <c r="A3" s="8"/>
      <c r="B3" s="9"/>
      <c r="C3" s="44" t="s">
        <v>46</v>
      </c>
      <c r="D3" s="45">
        <v>1.0418798063797183</v>
      </c>
      <c r="F3" s="44" t="s">
        <v>91</v>
      </c>
    </row>
    <row r="4" spans="1:46" x14ac:dyDescent="0.25">
      <c r="A4" s="8"/>
      <c r="B4" s="9"/>
      <c r="C4" s="44" t="s">
        <v>56</v>
      </c>
      <c r="D4" s="66">
        <v>1.0402926532698236</v>
      </c>
      <c r="F4" s="44" t="s">
        <v>91</v>
      </c>
    </row>
    <row r="5" spans="1:46" x14ac:dyDescent="0.25">
      <c r="A5" s="6"/>
      <c r="B5" s="6"/>
      <c r="C5" s="44" t="s">
        <v>92</v>
      </c>
      <c r="D5" s="66">
        <v>0.96725722969603312</v>
      </c>
      <c r="F5" s="44" t="s">
        <v>91</v>
      </c>
    </row>
    <row r="6" spans="1:46" x14ac:dyDescent="0.25">
      <c r="A6" s="6"/>
      <c r="B6" s="6"/>
    </row>
    <row r="7" spans="1:46" x14ac:dyDescent="0.25">
      <c r="A7" s="6"/>
      <c r="B7" s="6"/>
    </row>
    <row r="8" spans="1:46" x14ac:dyDescent="0.25">
      <c r="A8" s="6"/>
      <c r="B8" s="6"/>
      <c r="D8" s="21"/>
      <c r="F8" s="29"/>
      <c r="G8" s="29"/>
      <c r="H8" s="29"/>
      <c r="I8" s="29"/>
      <c r="J8" s="29"/>
    </row>
    <row r="9" spans="1:46" x14ac:dyDescent="0.25">
      <c r="A9" s="6"/>
      <c r="B9" s="6"/>
    </row>
    <row r="10" spans="1:46" x14ac:dyDescent="0.25">
      <c r="A10" s="6"/>
      <c r="B10" s="6"/>
    </row>
    <row r="11" spans="1:46" x14ac:dyDescent="0.25">
      <c r="A11" s="6"/>
      <c r="B11" s="6"/>
    </row>
    <row r="12" spans="1:46" x14ac:dyDescent="0.25">
      <c r="A12" s="6"/>
      <c r="B12" s="6"/>
    </row>
    <row r="13" spans="1:46" x14ac:dyDescent="0.25">
      <c r="A13" s="6"/>
      <c r="B13" s="6"/>
    </row>
    <row r="14" spans="1:46" x14ac:dyDescent="0.25">
      <c r="A14" s="6"/>
      <c r="B14" s="6"/>
    </row>
    <row r="15" spans="1:46" x14ac:dyDescent="0.25">
      <c r="A15" s="6"/>
      <c r="B15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4390-F323-4EAA-9BF1-2C41E1F9BC03}">
  <sheetPr>
    <tabColor theme="7" tint="0.59999389629810485"/>
  </sheetPr>
  <dimension ref="A1:AT15"/>
  <sheetViews>
    <sheetView showGridLines="0" workbookViewId="0">
      <selection activeCell="L11" sqref="L11"/>
    </sheetView>
  </sheetViews>
  <sheetFormatPr defaultRowHeight="15" x14ac:dyDescent="0.25"/>
  <cols>
    <col min="1" max="1" width="3" customWidth="1"/>
    <col min="2" max="2" width="3.28515625" customWidth="1"/>
    <col min="3" max="3" width="54.7109375" bestFit="1" customWidth="1"/>
    <col min="5" max="5" width="2.42578125" customWidth="1"/>
    <col min="6" max="10" width="14" customWidth="1"/>
  </cols>
  <sheetData>
    <row r="1" spans="1:46" x14ac:dyDescent="0.25">
      <c r="A1" s="2"/>
      <c r="B1" s="3" t="s">
        <v>18</v>
      </c>
      <c r="C1" s="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46" x14ac:dyDescent="0.25">
      <c r="A3" s="8"/>
      <c r="B3" s="9"/>
      <c r="C3" s="20" t="s">
        <v>30</v>
      </c>
      <c r="D3" s="28" t="s">
        <v>15</v>
      </c>
      <c r="E3" s="11"/>
      <c r="F3" s="12" t="s">
        <v>7</v>
      </c>
      <c r="G3" s="12" t="s">
        <v>8</v>
      </c>
      <c r="H3" s="12" t="s">
        <v>9</v>
      </c>
      <c r="I3" s="12" t="s">
        <v>10</v>
      </c>
      <c r="J3" s="17" t="s">
        <v>11</v>
      </c>
      <c r="K3" s="8"/>
    </row>
    <row r="4" spans="1:46" x14ac:dyDescent="0.25">
      <c r="A4" s="8"/>
      <c r="B4" s="9"/>
      <c r="C4" s="40"/>
      <c r="D4" s="22"/>
      <c r="E4" s="11"/>
      <c r="F4" s="42"/>
      <c r="G4" s="42"/>
      <c r="H4" s="42"/>
      <c r="I4" s="42"/>
      <c r="J4" s="41"/>
      <c r="K4" s="8"/>
    </row>
    <row r="5" spans="1:46" x14ac:dyDescent="0.25">
      <c r="A5" s="6"/>
      <c r="B5" s="6"/>
      <c r="C5" s="19" t="s">
        <v>49</v>
      </c>
      <c r="D5" s="21" t="s">
        <v>29</v>
      </c>
      <c r="E5" s="6"/>
      <c r="F5" s="31">
        <v>1.0350842813142422</v>
      </c>
      <c r="G5" s="31">
        <v>1.0395770843369798</v>
      </c>
      <c r="H5" s="31">
        <v>1.0450149019867196</v>
      </c>
      <c r="I5" s="31">
        <v>1.0540572703652926</v>
      </c>
      <c r="J5" s="31">
        <v>1.0664884465697901</v>
      </c>
      <c r="K5" s="6"/>
      <c r="L5" s="44" t="s">
        <v>91</v>
      </c>
    </row>
    <row r="6" spans="1:46" x14ac:dyDescent="0.25">
      <c r="A6" s="6"/>
      <c r="B6" s="6"/>
      <c r="C6" s="19" t="s">
        <v>31</v>
      </c>
      <c r="D6" s="21" t="s">
        <v>29</v>
      </c>
      <c r="E6" s="6"/>
      <c r="F6" s="30">
        <f t="shared" ref="F6:J6" si="0">F5-1</f>
        <v>3.5084281314242238E-2</v>
      </c>
      <c r="G6" s="30">
        <f t="shared" si="0"/>
        <v>3.9577084336979818E-2</v>
      </c>
      <c r="H6" s="30">
        <f t="shared" si="0"/>
        <v>4.5014901986719646E-2</v>
      </c>
      <c r="I6" s="30">
        <f t="shared" si="0"/>
        <v>5.405727036529262E-2</v>
      </c>
      <c r="J6" s="30">
        <f t="shared" si="0"/>
        <v>6.6488446569790138E-2</v>
      </c>
      <c r="K6" s="6"/>
    </row>
    <row r="7" spans="1:46" x14ac:dyDescent="0.25">
      <c r="A7" s="6"/>
      <c r="B7" s="6"/>
    </row>
    <row r="8" spans="1:46" x14ac:dyDescent="0.25">
      <c r="A8" s="6"/>
      <c r="B8" s="6"/>
      <c r="D8" s="21"/>
      <c r="F8" s="29"/>
      <c r="G8" s="29"/>
      <c r="H8" s="29"/>
      <c r="I8" s="29"/>
      <c r="J8" s="29"/>
    </row>
    <row r="9" spans="1:46" x14ac:dyDescent="0.25">
      <c r="A9" s="6"/>
      <c r="B9" s="6"/>
    </row>
    <row r="10" spans="1:46" x14ac:dyDescent="0.25">
      <c r="A10" s="6"/>
      <c r="B10" s="6"/>
    </row>
    <row r="11" spans="1:46" x14ac:dyDescent="0.25">
      <c r="A11" s="6"/>
      <c r="B11" s="6"/>
    </row>
    <row r="12" spans="1:46" x14ac:dyDescent="0.25">
      <c r="A12" s="6"/>
      <c r="B12" s="6"/>
    </row>
    <row r="13" spans="1:46" x14ac:dyDescent="0.25">
      <c r="A13" s="6"/>
      <c r="B13" s="6"/>
    </row>
    <row r="14" spans="1:46" x14ac:dyDescent="0.25">
      <c r="A14" s="6"/>
      <c r="B14" s="6"/>
    </row>
    <row r="15" spans="1:46" x14ac:dyDescent="0.25">
      <c r="A15" s="6"/>
      <c r="B15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0AF22-FCF8-430C-86E3-23DECCA09414}">
  <sheetPr>
    <tabColor theme="7" tint="0.59999389629810485"/>
  </sheetPr>
  <dimension ref="A1:AU38"/>
  <sheetViews>
    <sheetView showGridLines="0" workbookViewId="0">
      <selection activeCell="M21" sqref="M21"/>
    </sheetView>
  </sheetViews>
  <sheetFormatPr defaultRowHeight="15" x14ac:dyDescent="0.25"/>
  <cols>
    <col min="1" max="1" width="3" customWidth="1"/>
    <col min="2" max="2" width="3.28515625" customWidth="1"/>
    <col min="3" max="3" width="34.140625" customWidth="1"/>
    <col min="4" max="4" width="22.85546875" customWidth="1"/>
    <col min="5" max="5" width="3.28515625" customWidth="1"/>
    <col min="6" max="6" width="14.42578125" customWidth="1"/>
    <col min="7" max="8" width="13.42578125" customWidth="1"/>
    <col min="9" max="9" width="3.28515625" customWidth="1"/>
    <col min="10" max="10" width="13.42578125" customWidth="1"/>
    <col min="11" max="11" width="3.28515625" customWidth="1"/>
    <col min="12" max="12" width="13.42578125" customWidth="1"/>
  </cols>
  <sheetData>
    <row r="1" spans="1:47" x14ac:dyDescent="0.25">
      <c r="A1" s="2"/>
      <c r="B1" s="3" t="s">
        <v>53</v>
      </c>
      <c r="C1" s="2"/>
      <c r="D1" s="4"/>
      <c r="E1" s="5"/>
      <c r="F1" s="5"/>
      <c r="G1" s="2"/>
      <c r="H1" s="2"/>
      <c r="I1" s="2"/>
      <c r="J1" s="2"/>
      <c r="K1" s="2"/>
      <c r="L1" s="2"/>
      <c r="M1" s="2"/>
      <c r="N1" s="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3" spans="1:47" x14ac:dyDescent="0.25">
      <c r="C3" s="47" t="s">
        <v>28</v>
      </c>
    </row>
    <row r="4" spans="1:47" x14ac:dyDescent="0.25">
      <c r="C4" s="47"/>
    </row>
    <row r="5" spans="1:47" x14ac:dyDescent="0.25">
      <c r="B5" s="48"/>
      <c r="C5" s="48" t="s">
        <v>116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R5" s="48"/>
      <c r="S5" s="48"/>
      <c r="T5" s="48"/>
      <c r="U5" s="48"/>
      <c r="V5" s="48"/>
    </row>
    <row r="6" spans="1:47" x14ac:dyDescent="0.25">
      <c r="C6" s="48" t="s">
        <v>71</v>
      </c>
    </row>
    <row r="7" spans="1:47" x14ac:dyDescent="0.25">
      <c r="C7" s="48"/>
    </row>
    <row r="8" spans="1:47" ht="34.5" x14ac:dyDescent="0.25">
      <c r="C8" s="58" t="s">
        <v>59</v>
      </c>
      <c r="D8" s="58"/>
      <c r="E8" s="47"/>
      <c r="F8" s="55" t="s">
        <v>73</v>
      </c>
      <c r="G8" s="59" t="s">
        <v>74</v>
      </c>
      <c r="H8" s="55" t="s">
        <v>60</v>
      </c>
      <c r="I8" s="46"/>
      <c r="J8" s="55" t="s">
        <v>75</v>
      </c>
      <c r="K8" s="46"/>
      <c r="L8" s="55" t="s">
        <v>22</v>
      </c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47" x14ac:dyDescent="0.25">
      <c r="C9" s="54"/>
      <c r="D9" s="46"/>
      <c r="E9" s="46"/>
      <c r="G9" s="54"/>
      <c r="H9" s="54"/>
      <c r="I9" s="46"/>
      <c r="J9" s="46"/>
      <c r="K9" s="46"/>
      <c r="L9" s="46"/>
      <c r="M9" s="46"/>
      <c r="N9" s="46"/>
      <c r="O9" s="46"/>
      <c r="Q9" s="46"/>
      <c r="R9" s="46"/>
      <c r="S9" s="46"/>
      <c r="T9" s="46"/>
      <c r="U9" s="46"/>
      <c r="V9" s="46"/>
    </row>
    <row r="10" spans="1:47" x14ac:dyDescent="0.25">
      <c r="C10" s="46" t="s">
        <v>57</v>
      </c>
      <c r="D10" s="46" t="s">
        <v>58</v>
      </c>
      <c r="E10" s="46"/>
      <c r="F10" s="56">
        <v>2</v>
      </c>
      <c r="G10" s="56">
        <v>130</v>
      </c>
      <c r="H10" s="46">
        <f>F10*7.5</f>
        <v>15</v>
      </c>
      <c r="I10" s="46"/>
      <c r="J10" s="61">
        <f>H10*G10</f>
        <v>1950</v>
      </c>
      <c r="K10" s="46"/>
      <c r="L10" s="44" t="s">
        <v>117</v>
      </c>
      <c r="M10" s="46"/>
      <c r="N10" s="46"/>
      <c r="O10" s="46"/>
      <c r="Q10" s="46"/>
      <c r="R10" s="46"/>
      <c r="S10" s="46"/>
      <c r="T10" s="46"/>
      <c r="U10" s="46"/>
      <c r="V10" s="46"/>
    </row>
    <row r="11" spans="1:47" x14ac:dyDescent="0.25">
      <c r="C11" s="46"/>
      <c r="D11" s="46" t="s">
        <v>61</v>
      </c>
      <c r="E11" s="46"/>
      <c r="F11" s="56">
        <v>1</v>
      </c>
      <c r="G11" s="56">
        <v>128</v>
      </c>
      <c r="H11" s="46">
        <f t="shared" ref="H11:H15" si="0">F11*7.5</f>
        <v>7.5</v>
      </c>
      <c r="I11" s="46"/>
      <c r="J11" s="61">
        <f t="shared" ref="J11:J15" si="1">H11*G11</f>
        <v>960</v>
      </c>
      <c r="K11" s="46"/>
      <c r="L11" s="44" t="s">
        <v>118</v>
      </c>
      <c r="M11" s="46"/>
      <c r="N11" s="46"/>
      <c r="O11" s="46"/>
      <c r="Q11" s="46"/>
      <c r="R11" s="46"/>
      <c r="S11" s="46"/>
      <c r="T11" s="46"/>
      <c r="U11" s="46"/>
      <c r="V11" s="46"/>
    </row>
    <row r="12" spans="1:47" x14ac:dyDescent="0.25">
      <c r="C12" s="46"/>
      <c r="D12" s="46" t="s">
        <v>62</v>
      </c>
      <c r="E12" s="46"/>
      <c r="F12" s="56">
        <v>2</v>
      </c>
      <c r="G12" s="56">
        <v>128</v>
      </c>
      <c r="H12" s="46">
        <f t="shared" si="0"/>
        <v>15</v>
      </c>
      <c r="I12" s="46"/>
      <c r="J12" s="61">
        <f t="shared" si="1"/>
        <v>1920</v>
      </c>
      <c r="K12" s="46"/>
      <c r="L12" s="44" t="s">
        <v>119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47" x14ac:dyDescent="0.25">
      <c r="C13" s="46"/>
      <c r="D13" s="46" t="s">
        <v>105</v>
      </c>
      <c r="E13" s="46"/>
      <c r="F13" s="56">
        <v>2</v>
      </c>
      <c r="G13" s="56">
        <v>100</v>
      </c>
      <c r="H13" s="46">
        <f t="shared" si="0"/>
        <v>15</v>
      </c>
      <c r="I13" s="46"/>
      <c r="J13" s="61">
        <f t="shared" si="1"/>
        <v>1500</v>
      </c>
      <c r="K13" s="46"/>
      <c r="L13" s="44" t="s">
        <v>108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47" x14ac:dyDescent="0.25">
      <c r="C14" s="46"/>
      <c r="D14" s="46" t="s">
        <v>106</v>
      </c>
      <c r="E14" s="46"/>
      <c r="F14" s="56">
        <v>2</v>
      </c>
      <c r="G14" s="56">
        <v>100</v>
      </c>
      <c r="H14" s="46">
        <f t="shared" si="0"/>
        <v>15</v>
      </c>
      <c r="I14" s="46"/>
      <c r="J14" s="61">
        <f t="shared" si="1"/>
        <v>1500</v>
      </c>
      <c r="K14" s="46"/>
      <c r="L14" s="46" t="s">
        <v>109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47" x14ac:dyDescent="0.25">
      <c r="C15" s="46"/>
      <c r="D15" s="46" t="s">
        <v>107</v>
      </c>
      <c r="E15" s="46"/>
      <c r="F15" s="56">
        <v>2</v>
      </c>
      <c r="G15" s="56">
        <v>100</v>
      </c>
      <c r="H15" s="46">
        <f t="shared" si="0"/>
        <v>15</v>
      </c>
      <c r="I15" s="46"/>
      <c r="J15" s="61">
        <f t="shared" si="1"/>
        <v>1500</v>
      </c>
      <c r="K15" s="46"/>
      <c r="L15" s="46" t="s">
        <v>109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47" x14ac:dyDescent="0.25">
      <c r="C16" s="46"/>
      <c r="F16" s="56"/>
      <c r="G16" s="56"/>
      <c r="I16" s="46"/>
      <c r="J16" s="61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3:22" x14ac:dyDescent="0.25">
      <c r="C17" s="46" t="s">
        <v>63</v>
      </c>
      <c r="D17" s="46" t="s">
        <v>64</v>
      </c>
      <c r="E17" s="46"/>
      <c r="F17" s="56">
        <v>1</v>
      </c>
      <c r="G17" s="56">
        <v>123.72</v>
      </c>
      <c r="H17" s="46">
        <f t="shared" ref="H17" si="2">F17*7.5</f>
        <v>7.5</v>
      </c>
      <c r="I17" s="46"/>
      <c r="J17" s="61">
        <f t="shared" ref="J17" si="3">H17*G17</f>
        <v>927.9</v>
      </c>
      <c r="K17" s="46"/>
      <c r="L17" s="46" t="s">
        <v>110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3:22" x14ac:dyDescent="0.25">
      <c r="C18" s="46"/>
      <c r="F18" s="56"/>
      <c r="G18" s="56"/>
      <c r="I18" s="46"/>
      <c r="J18" s="61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3:22" x14ac:dyDescent="0.25">
      <c r="C19" s="46" t="s">
        <v>65</v>
      </c>
      <c r="D19" s="46" t="s">
        <v>61</v>
      </c>
      <c r="E19" s="46"/>
      <c r="F19" s="56">
        <v>1</v>
      </c>
      <c r="G19" s="56">
        <v>128</v>
      </c>
      <c r="H19" s="46">
        <f t="shared" ref="H19:H21" si="4">F19*7.5</f>
        <v>7.5</v>
      </c>
      <c r="I19" s="46"/>
      <c r="J19" s="61">
        <f t="shared" ref="J19:J21" si="5">H19*G19</f>
        <v>960</v>
      </c>
      <c r="K19" s="46"/>
      <c r="L19" s="44" t="s">
        <v>120</v>
      </c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3:22" x14ac:dyDescent="0.25">
      <c r="C20" s="46"/>
      <c r="D20" s="46" t="s">
        <v>66</v>
      </c>
      <c r="E20" s="46"/>
      <c r="F20" s="56">
        <v>1</v>
      </c>
      <c r="G20" s="56">
        <v>140</v>
      </c>
      <c r="H20" s="46">
        <f t="shared" si="4"/>
        <v>7.5</v>
      </c>
      <c r="I20" s="46"/>
      <c r="J20" s="61">
        <f t="shared" si="5"/>
        <v>1050</v>
      </c>
      <c r="K20" s="46"/>
      <c r="L20" s="46" t="s">
        <v>121</v>
      </c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3:22" x14ac:dyDescent="0.25">
      <c r="C21" s="46"/>
      <c r="D21" s="46" t="s">
        <v>67</v>
      </c>
      <c r="E21" s="46"/>
      <c r="F21" s="56">
        <v>3</v>
      </c>
      <c r="G21" s="56">
        <v>120</v>
      </c>
      <c r="H21" s="46">
        <f t="shared" si="4"/>
        <v>22.5</v>
      </c>
      <c r="I21" s="46"/>
      <c r="J21" s="61">
        <f t="shared" si="5"/>
        <v>2700</v>
      </c>
      <c r="K21" s="46"/>
      <c r="L21" s="46" t="s">
        <v>111</v>
      </c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3:22" x14ac:dyDescent="0.25">
      <c r="C22" s="46"/>
      <c r="D22" s="46"/>
      <c r="E22" s="46"/>
      <c r="F22" s="56"/>
      <c r="G22" s="56"/>
      <c r="H22" s="46"/>
      <c r="I22" s="46"/>
      <c r="J22" s="61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3:22" x14ac:dyDescent="0.25">
      <c r="C23" s="46" t="s">
        <v>68</v>
      </c>
      <c r="D23" s="46" t="s">
        <v>69</v>
      </c>
      <c r="E23" s="46"/>
      <c r="F23" s="60">
        <v>8</v>
      </c>
      <c r="G23" s="60">
        <v>200</v>
      </c>
      <c r="H23" s="44">
        <f t="shared" ref="H23" si="6">F23*7.5</f>
        <v>60</v>
      </c>
      <c r="I23" s="44"/>
      <c r="J23" s="62">
        <f t="shared" ref="J23" si="7">H23*G23</f>
        <v>12000</v>
      </c>
      <c r="K23" s="46"/>
      <c r="L23" s="46" t="s">
        <v>112</v>
      </c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3:22" x14ac:dyDescent="0.25">
      <c r="C24" s="46"/>
      <c r="D24" s="46" t="s">
        <v>70</v>
      </c>
      <c r="E24" s="46"/>
      <c r="I24" s="46"/>
      <c r="J24" s="62">
        <f>SUMPRODUCT(G10:G23,F10:F23)</f>
        <v>3595.7200000000003</v>
      </c>
      <c r="K24" s="60"/>
      <c r="L24" s="46" t="s">
        <v>90</v>
      </c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3:22" x14ac:dyDescent="0.25">
      <c r="C25" s="46"/>
      <c r="D25" s="46" t="s">
        <v>72</v>
      </c>
      <c r="E25" s="46"/>
      <c r="I25" s="46"/>
      <c r="J25" s="62">
        <v>805</v>
      </c>
      <c r="K25" s="44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3:22" x14ac:dyDescent="0.25">
      <c r="C26" s="46"/>
      <c r="D26" s="46" t="s">
        <v>113</v>
      </c>
      <c r="E26" s="46"/>
      <c r="G26" s="46">
        <v>124</v>
      </c>
      <c r="H26" s="46">
        <v>2</v>
      </c>
      <c r="I26" s="46"/>
      <c r="J26" s="61">
        <f t="shared" ref="J26:J27" si="8">H26*G26</f>
        <v>248</v>
      </c>
      <c r="K26" s="44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3:22" x14ac:dyDescent="0.25">
      <c r="C27" s="46"/>
      <c r="D27" s="46" t="s">
        <v>114</v>
      </c>
      <c r="E27" s="46"/>
      <c r="G27" s="46">
        <v>124</v>
      </c>
      <c r="H27" s="46">
        <v>2</v>
      </c>
      <c r="I27" s="46"/>
      <c r="J27" s="61">
        <f t="shared" si="8"/>
        <v>248</v>
      </c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3:22" x14ac:dyDescent="0.25">
      <c r="C28" s="46"/>
      <c r="D28" s="46"/>
      <c r="E28" s="46"/>
      <c r="F28" s="46"/>
      <c r="G28" s="46"/>
      <c r="H28" s="46"/>
      <c r="I28" s="46"/>
      <c r="J28" s="61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3:22" x14ac:dyDescent="0.25">
      <c r="C29" s="46" t="s">
        <v>76</v>
      </c>
      <c r="D29" s="46"/>
      <c r="E29" s="46"/>
      <c r="F29" s="46"/>
      <c r="G29" s="46"/>
      <c r="H29" s="46"/>
      <c r="I29" s="46"/>
      <c r="J29" s="63">
        <f>SUM(J10:J27)</f>
        <v>31864.620000000003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3:22" x14ac:dyDescent="0.25">
      <c r="C30" s="46" t="s">
        <v>77</v>
      </c>
      <c r="J30" s="61">
        <f>J29*0.2</f>
        <v>6372.9240000000009</v>
      </c>
      <c r="L30" s="46" t="s">
        <v>78</v>
      </c>
    </row>
    <row r="31" spans="3:22" x14ac:dyDescent="0.25">
      <c r="C31" s="46" t="s">
        <v>79</v>
      </c>
      <c r="J31" s="61">
        <f>SUM(J29:J30)*0.5</f>
        <v>19118.772000000001</v>
      </c>
      <c r="L31" s="46" t="s">
        <v>80</v>
      </c>
    </row>
    <row r="32" spans="3:22" x14ac:dyDescent="0.25">
      <c r="J32" s="64"/>
    </row>
    <row r="33" spans="3:10" x14ac:dyDescent="0.25">
      <c r="C33" s="46" t="s">
        <v>81</v>
      </c>
      <c r="D33" s="53"/>
      <c r="E33" s="53"/>
      <c r="F33" s="53"/>
      <c r="G33" s="53"/>
      <c r="H33" s="53"/>
      <c r="I33" s="53"/>
      <c r="J33" s="63">
        <f>SUM(J29:J31)</f>
        <v>57356.316000000006</v>
      </c>
    </row>
    <row r="34" spans="3:10" x14ac:dyDescent="0.25">
      <c r="C34" s="46"/>
      <c r="D34" s="53"/>
      <c r="E34" s="53"/>
      <c r="F34" s="53"/>
      <c r="G34" s="53"/>
      <c r="H34" s="53"/>
      <c r="I34" s="53"/>
      <c r="J34" s="65"/>
    </row>
    <row r="36" spans="3:10" x14ac:dyDescent="0.25">
      <c r="C36" s="46" t="s">
        <v>103</v>
      </c>
      <c r="F36" s="56">
        <v>3</v>
      </c>
      <c r="J36" s="65">
        <f>$J$33*F36</f>
        <v>172068.94800000003</v>
      </c>
    </row>
    <row r="37" spans="3:10" x14ac:dyDescent="0.25">
      <c r="C37" s="46" t="s">
        <v>104</v>
      </c>
      <c r="F37" s="56">
        <v>1</v>
      </c>
      <c r="J37" s="65">
        <f>$J$33*F37</f>
        <v>57356.316000000006</v>
      </c>
    </row>
    <row r="38" spans="3:10" x14ac:dyDescent="0.25">
      <c r="C38" s="47" t="s">
        <v>45</v>
      </c>
      <c r="J38" s="72">
        <f>SUM(J36:J37)</f>
        <v>229425.26400000002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7A16B-9179-4594-A027-058D04A3413C}">
  <sheetPr>
    <tabColor theme="7" tint="0.59999389629810485"/>
  </sheetPr>
  <dimension ref="A1:AU42"/>
  <sheetViews>
    <sheetView showGridLines="0" topLeftCell="A13" workbookViewId="0">
      <selection activeCell="I9" sqref="I9"/>
    </sheetView>
  </sheetViews>
  <sheetFormatPr defaultRowHeight="15" x14ac:dyDescent="0.25"/>
  <cols>
    <col min="1" max="1" width="3" customWidth="1"/>
    <col min="2" max="2" width="3.28515625" customWidth="1"/>
    <col min="3" max="3" width="65.42578125" customWidth="1"/>
    <col min="7" max="7" width="2.42578125" customWidth="1"/>
    <col min="8" max="12" width="14" customWidth="1"/>
    <col min="13" max="13" width="2.42578125" customWidth="1"/>
    <col min="14" max="14" width="21" customWidth="1"/>
    <col min="15" max="15" width="2.42578125" customWidth="1"/>
    <col min="16" max="16" width="15.140625" customWidth="1"/>
    <col min="17" max="17" width="2.42578125" customWidth="1"/>
    <col min="18" max="18" width="15.140625" customWidth="1"/>
    <col min="35" max="35" width="23.28515625" customWidth="1"/>
  </cols>
  <sheetData>
    <row r="1" spans="1:47" x14ac:dyDescent="0.25">
      <c r="A1" s="2"/>
      <c r="B1" s="3" t="s">
        <v>95</v>
      </c>
      <c r="C1" s="2"/>
      <c r="D1" s="4"/>
      <c r="E1" s="5"/>
      <c r="F1" s="5"/>
      <c r="G1" s="5"/>
      <c r="H1" s="2"/>
      <c r="I1" s="2"/>
      <c r="J1" s="2"/>
      <c r="K1" s="2"/>
      <c r="L1" s="2"/>
      <c r="M1" s="2"/>
      <c r="N1" s="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3" spans="1:47" x14ac:dyDescent="0.25">
      <c r="H3" s="12" t="s">
        <v>7</v>
      </c>
      <c r="I3" s="12" t="s">
        <v>8</v>
      </c>
      <c r="J3" s="12" t="s">
        <v>9</v>
      </c>
      <c r="K3" s="12" t="s">
        <v>10</v>
      </c>
      <c r="L3" s="17" t="s">
        <v>11</v>
      </c>
      <c r="N3" s="73" t="s">
        <v>52</v>
      </c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47" x14ac:dyDescent="0.25">
      <c r="C4" s="46"/>
      <c r="H4" s="42"/>
      <c r="I4" s="42"/>
      <c r="J4" s="42"/>
      <c r="K4" s="42"/>
      <c r="L4" s="42"/>
    </row>
    <row r="5" spans="1:47" x14ac:dyDescent="0.25">
      <c r="C5" s="47" t="s">
        <v>51</v>
      </c>
      <c r="D5" s="14" t="s">
        <v>21</v>
      </c>
      <c r="E5" s="14" t="s">
        <v>88</v>
      </c>
      <c r="F5" s="14" t="s">
        <v>6</v>
      </c>
      <c r="H5" s="50">
        <v>0</v>
      </c>
      <c r="I5" s="50">
        <v>30000</v>
      </c>
      <c r="J5" s="50">
        <v>0</v>
      </c>
      <c r="K5" s="50">
        <v>0</v>
      </c>
      <c r="L5" s="50">
        <v>0</v>
      </c>
      <c r="N5" s="76" t="s">
        <v>54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26"/>
      <c r="AK5" s="26"/>
      <c r="AL5" s="26"/>
      <c r="AM5" s="26"/>
      <c r="AN5" s="26"/>
      <c r="AO5" s="26"/>
    </row>
    <row r="6" spans="1:47" x14ac:dyDescent="0.25">
      <c r="C6" s="46"/>
      <c r="H6" s="42"/>
      <c r="I6" s="42"/>
      <c r="J6" s="42"/>
      <c r="K6" s="42"/>
      <c r="L6" s="42"/>
      <c r="N6" s="76" t="s">
        <v>55</v>
      </c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</row>
    <row r="7" spans="1:47" x14ac:dyDescent="0.25">
      <c r="C7" s="46"/>
      <c r="H7" s="42"/>
      <c r="I7" s="42"/>
      <c r="J7" s="42"/>
      <c r="K7" s="42"/>
      <c r="L7" s="42"/>
      <c r="N7" s="48"/>
      <c r="O7" s="48"/>
      <c r="P7" s="48"/>
      <c r="Q7" s="48"/>
      <c r="R7" s="48"/>
      <c r="S7" s="48"/>
    </row>
    <row r="8" spans="1:47" x14ac:dyDescent="0.25">
      <c r="C8" s="47" t="s">
        <v>28</v>
      </c>
      <c r="D8" s="14" t="s">
        <v>21</v>
      </c>
      <c r="E8" s="14" t="s">
        <v>88</v>
      </c>
      <c r="F8" s="14" t="s">
        <v>6</v>
      </c>
      <c r="H8" s="50">
        <v>0</v>
      </c>
      <c r="I8" s="50">
        <v>0</v>
      </c>
      <c r="J8" s="50">
        <f>'Input|Fault test workings'!$J$38</f>
        <v>229425.26400000002</v>
      </c>
      <c r="K8" s="50">
        <f>'Input|Fault test workings'!$J$38</f>
        <v>229425.26400000002</v>
      </c>
      <c r="L8" s="50">
        <f>'Input|Fault test workings'!$J$38</f>
        <v>229425.26400000002</v>
      </c>
      <c r="N8" s="75" t="s">
        <v>115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</row>
    <row r="9" spans="1:47" x14ac:dyDescent="0.25">
      <c r="C9" s="46"/>
    </row>
    <row r="10" spans="1:47" x14ac:dyDescent="0.25">
      <c r="C10" s="47" t="s">
        <v>23</v>
      </c>
      <c r="D10" s="14" t="s">
        <v>21</v>
      </c>
      <c r="E10" s="14" t="s">
        <v>88</v>
      </c>
      <c r="F10" s="14" t="s">
        <v>6</v>
      </c>
      <c r="H10" s="50">
        <v>0</v>
      </c>
      <c r="I10" s="50">
        <v>0</v>
      </c>
      <c r="J10" s="50">
        <v>40000</v>
      </c>
      <c r="K10" s="50">
        <v>40000</v>
      </c>
      <c r="L10" s="50">
        <v>40000</v>
      </c>
      <c r="N10" s="76" t="s">
        <v>97</v>
      </c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</row>
    <row r="12" spans="1:47" x14ac:dyDescent="0.25">
      <c r="C12" s="47" t="s">
        <v>24</v>
      </c>
      <c r="D12" s="14" t="s">
        <v>21</v>
      </c>
      <c r="E12" s="14" t="s">
        <v>88</v>
      </c>
      <c r="F12" s="14" t="s">
        <v>6</v>
      </c>
      <c r="H12" s="50">
        <v>0</v>
      </c>
      <c r="I12" s="50">
        <v>0</v>
      </c>
      <c r="J12" s="50">
        <v>42000</v>
      </c>
      <c r="K12" s="50">
        <v>42000</v>
      </c>
      <c r="L12" s="50">
        <v>42000</v>
      </c>
      <c r="N12" s="76" t="s">
        <v>82</v>
      </c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</row>
    <row r="13" spans="1:47" x14ac:dyDescent="0.25">
      <c r="C13" s="47"/>
    </row>
    <row r="14" spans="1:47" x14ac:dyDescent="0.25">
      <c r="C14" s="47" t="s">
        <v>25</v>
      </c>
      <c r="D14" s="14" t="s">
        <v>21</v>
      </c>
      <c r="E14" s="14" t="s">
        <v>88</v>
      </c>
      <c r="F14" s="14" t="s">
        <v>6</v>
      </c>
      <c r="H14" s="50">
        <v>0</v>
      </c>
      <c r="I14" s="50">
        <v>0</v>
      </c>
      <c r="J14" s="50">
        <v>66300</v>
      </c>
      <c r="K14" s="50">
        <v>66300</v>
      </c>
      <c r="L14" s="50">
        <v>66300</v>
      </c>
      <c r="N14" s="76" t="s">
        <v>98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</row>
    <row r="15" spans="1:47" x14ac:dyDescent="0.25">
      <c r="C15" s="46"/>
    </row>
    <row r="16" spans="1:47" x14ac:dyDescent="0.25">
      <c r="C16" s="47" t="s">
        <v>26</v>
      </c>
      <c r="D16" s="14" t="s">
        <v>21</v>
      </c>
      <c r="E16" s="14" t="s">
        <v>88</v>
      </c>
      <c r="F16" s="14" t="s">
        <v>6</v>
      </c>
      <c r="H16" s="50">
        <v>0</v>
      </c>
      <c r="I16" s="50">
        <v>0</v>
      </c>
      <c r="J16" s="50">
        <v>6000</v>
      </c>
      <c r="K16" s="50">
        <v>6000</v>
      </c>
      <c r="L16" s="50">
        <v>6000</v>
      </c>
      <c r="N16" s="76" t="s">
        <v>83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1:47" x14ac:dyDescent="0.25">
      <c r="C17" s="46"/>
    </row>
    <row r="18" spans="1:47" x14ac:dyDescent="0.25">
      <c r="C18" s="47" t="s">
        <v>86</v>
      </c>
      <c r="D18" s="14" t="s">
        <v>21</v>
      </c>
      <c r="E18" s="14" t="s">
        <v>88</v>
      </c>
      <c r="F18" s="14" t="s">
        <v>6</v>
      </c>
      <c r="H18" s="50">
        <v>0</v>
      </c>
      <c r="I18" s="50">
        <v>0</v>
      </c>
      <c r="J18" s="50">
        <v>4800</v>
      </c>
      <c r="K18" s="50">
        <v>4800</v>
      </c>
      <c r="L18" s="50">
        <v>4800</v>
      </c>
      <c r="N18" s="70" t="s">
        <v>84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spans="1:47" x14ac:dyDescent="0.25">
      <c r="C19" s="46"/>
      <c r="N19" s="70" t="s">
        <v>100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</row>
    <row r="20" spans="1:47" x14ac:dyDescent="0.25">
      <c r="N20" s="70" t="s">
        <v>101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</row>
    <row r="21" spans="1:47" x14ac:dyDescent="0.25">
      <c r="C21" s="46"/>
    </row>
    <row r="22" spans="1:47" x14ac:dyDescent="0.25">
      <c r="C22" s="47" t="s">
        <v>85</v>
      </c>
      <c r="D22" s="14" t="s">
        <v>21</v>
      </c>
      <c r="E22" s="14" t="s">
        <v>88</v>
      </c>
      <c r="F22" s="14" t="s">
        <v>6</v>
      </c>
      <c r="H22" s="50">
        <v>0</v>
      </c>
      <c r="I22" s="50">
        <v>0</v>
      </c>
      <c r="J22" s="50">
        <v>19740</v>
      </c>
      <c r="K22" s="50">
        <v>19740</v>
      </c>
      <c r="L22" s="50">
        <v>19740</v>
      </c>
      <c r="N22" s="44" t="s">
        <v>87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</row>
    <row r="23" spans="1:47" x14ac:dyDescent="0.25">
      <c r="N23" s="70" t="s">
        <v>99</v>
      </c>
    </row>
    <row r="24" spans="1:47" x14ac:dyDescent="0.25">
      <c r="N24" s="71" t="s">
        <v>102</v>
      </c>
    </row>
    <row r="26" spans="1:47" x14ac:dyDescent="0.25">
      <c r="A26" s="2"/>
      <c r="B26" s="3" t="s">
        <v>96</v>
      </c>
      <c r="C26" s="2"/>
      <c r="D26" s="4"/>
      <c r="E26" s="5"/>
      <c r="F26" s="5"/>
      <c r="G26" s="5"/>
      <c r="H26" s="2"/>
      <c r="I26" s="2"/>
      <c r="J26" s="2"/>
      <c r="K26" s="2"/>
      <c r="L26" s="2"/>
      <c r="M26" s="2"/>
      <c r="N26" s="4" t="s">
        <v>20</v>
      </c>
      <c r="O26" s="2"/>
      <c r="P26" s="69" t="str">
        <f>IF(COUNTIF(P31:P38,"Check")=0,"Ok","Check")</f>
        <v>Ok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47" x14ac:dyDescent="0.25">
      <c r="A28" s="6"/>
      <c r="B28" s="6"/>
      <c r="C28" s="6"/>
      <c r="D28" s="6"/>
      <c r="E28" s="6"/>
      <c r="F28" s="6"/>
      <c r="G28" s="6"/>
      <c r="H28" s="7"/>
      <c r="I28" s="7"/>
      <c r="J28" s="7"/>
      <c r="K28" s="7"/>
      <c r="L28" s="16"/>
      <c r="M28" s="6"/>
      <c r="N28" s="6"/>
      <c r="O28" s="6"/>
      <c r="P28" s="6"/>
      <c r="Q28" s="6"/>
      <c r="R28" s="7" t="s">
        <v>0</v>
      </c>
    </row>
    <row r="29" spans="1:47" x14ac:dyDescent="0.25">
      <c r="A29" s="8"/>
      <c r="B29" s="9"/>
      <c r="C29" s="10" t="s">
        <v>47</v>
      </c>
      <c r="D29" s="1" t="s">
        <v>1</v>
      </c>
      <c r="E29" s="1" t="s">
        <v>2</v>
      </c>
      <c r="F29" s="1" t="s">
        <v>3</v>
      </c>
      <c r="G29" s="11"/>
      <c r="H29" s="12" t="s">
        <v>7</v>
      </c>
      <c r="I29" s="12" t="s">
        <v>8</v>
      </c>
      <c r="J29" s="12" t="s">
        <v>9</v>
      </c>
      <c r="K29" s="12" t="s">
        <v>10</v>
      </c>
      <c r="L29" s="17" t="s">
        <v>11</v>
      </c>
      <c r="M29" s="8"/>
      <c r="N29" s="17" t="s">
        <v>14</v>
      </c>
      <c r="O29" s="8"/>
      <c r="P29" s="8"/>
      <c r="Q29" s="8"/>
      <c r="R29" s="12" t="s">
        <v>12</v>
      </c>
    </row>
    <row r="30" spans="1:4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18"/>
      <c r="M30" s="6"/>
      <c r="N30" s="6"/>
      <c r="O30" s="6"/>
      <c r="P30" s="6"/>
      <c r="Q30" s="6"/>
    </row>
    <row r="31" spans="1:47" x14ac:dyDescent="0.25">
      <c r="A31" s="6"/>
      <c r="B31" s="6"/>
      <c r="C31" s="13" t="str">
        <f>C5</f>
        <v>Development of specifications and procurement of trest truck and gear</v>
      </c>
      <c r="D31" s="14" t="s">
        <v>21</v>
      </c>
      <c r="E31" s="14" t="s">
        <v>5</v>
      </c>
      <c r="F31" s="14" t="s">
        <v>6</v>
      </c>
      <c r="G31" s="6"/>
      <c r="H31" s="49">
        <f>H5*'Input|Inflation'!$D$5</f>
        <v>0</v>
      </c>
      <c r="I31" s="49">
        <f>I5*'Input|Inflation'!$D$5</f>
        <v>29017.716890880994</v>
      </c>
      <c r="J31" s="49">
        <f>J5*'Input|Inflation'!$D$5</f>
        <v>0</v>
      </c>
      <c r="K31" s="49">
        <f>K5*'Input|Inflation'!$D$5</f>
        <v>0</v>
      </c>
      <c r="L31" s="49">
        <f>L5*'Input|Inflation'!$D$5</f>
        <v>0</v>
      </c>
      <c r="M31" s="6"/>
      <c r="N31" s="27">
        <v>1</v>
      </c>
      <c r="O31" s="6"/>
      <c r="P31" s="69" t="str">
        <f t="shared" ref="P31:P38" si="0">IF(AND(SUM(H31:L31)&gt;0,N31=""),"Check",IF(OR(N31&lt;0,N31&gt;1),"Check","Ok"))</f>
        <v>Ok</v>
      </c>
      <c r="Q31" s="6"/>
      <c r="R31" s="15"/>
    </row>
    <row r="32" spans="1:47" x14ac:dyDescent="0.25">
      <c r="A32" s="6"/>
      <c r="B32" s="6"/>
      <c r="C32" s="13" t="str">
        <f>C8</f>
        <v xml:space="preserve">Primary earth fault testing </v>
      </c>
      <c r="D32" s="14" t="s">
        <v>21</v>
      </c>
      <c r="E32" s="14" t="s">
        <v>5</v>
      </c>
      <c r="F32" s="14" t="s">
        <v>6</v>
      </c>
      <c r="G32" s="6"/>
      <c r="H32" s="49">
        <f>H8*'Input|Inflation'!$D$5</f>
        <v>0</v>
      </c>
      <c r="I32" s="49">
        <f>I8*'Input|Inflation'!$D$5</f>
        <v>0</v>
      </c>
      <c r="J32" s="49">
        <f>J8*'Input|Inflation'!$D$5</f>
        <v>221913.24527892107</v>
      </c>
      <c r="K32" s="49">
        <f>K8*'Input|Inflation'!$D$5</f>
        <v>221913.24527892107</v>
      </c>
      <c r="L32" s="49">
        <f>L8*'Input|Inflation'!$D$5</f>
        <v>221913.24527892107</v>
      </c>
      <c r="N32" s="27">
        <v>1</v>
      </c>
      <c r="P32" s="69" t="str">
        <f t="shared" si="0"/>
        <v>Ok</v>
      </c>
    </row>
    <row r="33" spans="1:18" x14ac:dyDescent="0.25">
      <c r="A33" s="6"/>
      <c r="B33" s="6"/>
      <c r="C33" s="13" t="str">
        <f>C10</f>
        <v>Insulation testing</v>
      </c>
      <c r="D33" s="14" t="s">
        <v>21</v>
      </c>
      <c r="E33" s="14" t="s">
        <v>5</v>
      </c>
      <c r="F33" s="14" t="s">
        <v>6</v>
      </c>
      <c r="G33" s="6"/>
      <c r="H33" s="49">
        <f>H10*'Input|Inflation'!$D$5</f>
        <v>0</v>
      </c>
      <c r="I33" s="49">
        <f>I10*'Input|Inflation'!$D$5</f>
        <v>0</v>
      </c>
      <c r="J33" s="49">
        <f>J10*'Input|Inflation'!$D$5</f>
        <v>38690.289187841321</v>
      </c>
      <c r="K33" s="49">
        <f>K10*'Input|Inflation'!$D$5</f>
        <v>38690.289187841321</v>
      </c>
      <c r="L33" s="49">
        <f>L10*'Input|Inflation'!$D$5</f>
        <v>38690.289187841321</v>
      </c>
      <c r="N33" s="27">
        <v>1</v>
      </c>
      <c r="P33" s="69" t="str">
        <f t="shared" si="0"/>
        <v>Ok</v>
      </c>
    </row>
    <row r="34" spans="1:18" x14ac:dyDescent="0.25">
      <c r="A34" s="6"/>
      <c r="B34" s="6"/>
      <c r="C34" s="13" t="str">
        <f>C12</f>
        <v>Data analysis and reports</v>
      </c>
      <c r="D34" s="14" t="s">
        <v>21</v>
      </c>
      <c r="E34" s="14" t="s">
        <v>5</v>
      </c>
      <c r="F34" s="14" t="s">
        <v>6</v>
      </c>
      <c r="G34" s="6"/>
      <c r="H34" s="49">
        <f>H12*'Input|Inflation'!$D$5</f>
        <v>0</v>
      </c>
      <c r="I34" s="49">
        <f>I12*'Input|Inflation'!$D$5</f>
        <v>0</v>
      </c>
      <c r="J34" s="49">
        <f>J12*'Input|Inflation'!$D$5</f>
        <v>40624.803647233392</v>
      </c>
      <c r="K34" s="49">
        <f>K12*'Input|Inflation'!$D$5</f>
        <v>40624.803647233392</v>
      </c>
      <c r="L34" s="49">
        <f>L12*'Input|Inflation'!$D$5</f>
        <v>40624.803647233392</v>
      </c>
      <c r="N34" s="27">
        <v>1</v>
      </c>
      <c r="P34" s="69" t="str">
        <f t="shared" si="0"/>
        <v>Ok</v>
      </c>
    </row>
    <row r="35" spans="1:18" x14ac:dyDescent="0.25">
      <c r="A35" s="6"/>
      <c r="B35" s="6"/>
      <c r="C35" s="13" t="str">
        <f>C14</f>
        <v>Network balancing</v>
      </c>
      <c r="D35" s="14" t="s">
        <v>21</v>
      </c>
      <c r="E35" s="14" t="s">
        <v>5</v>
      </c>
      <c r="F35" s="14" t="s">
        <v>6</v>
      </c>
      <c r="G35" s="6"/>
      <c r="H35" s="49">
        <f>H14*'Input|Inflation'!$D$5</f>
        <v>0</v>
      </c>
      <c r="I35" s="49">
        <f>I14*'Input|Inflation'!$D$5</f>
        <v>0</v>
      </c>
      <c r="J35" s="49">
        <f>J14*'Input|Inflation'!$D$5</f>
        <v>64129.154328846998</v>
      </c>
      <c r="K35" s="49">
        <f>K14*'Input|Inflation'!$D$5</f>
        <v>64129.154328846998</v>
      </c>
      <c r="L35" s="49">
        <f>L14*'Input|Inflation'!$D$5</f>
        <v>64129.154328846998</v>
      </c>
      <c r="N35" s="27">
        <v>1</v>
      </c>
      <c r="P35" s="69" t="str">
        <f t="shared" si="0"/>
        <v>Ok</v>
      </c>
    </row>
    <row r="36" spans="1:18" x14ac:dyDescent="0.25">
      <c r="A36" s="6"/>
      <c r="B36" s="6"/>
      <c r="C36" s="13" t="str">
        <f>C16</f>
        <v>Equipment maintenance</v>
      </c>
      <c r="D36" s="14" t="s">
        <v>21</v>
      </c>
      <c r="E36" s="14" t="s">
        <v>5</v>
      </c>
      <c r="F36" s="14" t="s">
        <v>6</v>
      </c>
      <c r="G36" s="6"/>
      <c r="H36" s="49">
        <f>H16*'Input|Inflation'!$D$5</f>
        <v>0</v>
      </c>
      <c r="I36" s="49">
        <f>I16*'Input|Inflation'!$D$5</f>
        <v>0</v>
      </c>
      <c r="J36" s="49">
        <f>J16*'Input|Inflation'!$D$5</f>
        <v>5803.5433781761985</v>
      </c>
      <c r="K36" s="49">
        <f>K16*'Input|Inflation'!$D$5</f>
        <v>5803.5433781761985</v>
      </c>
      <c r="L36" s="49">
        <f>L16*'Input|Inflation'!$D$5</f>
        <v>5803.5433781761985</v>
      </c>
      <c r="N36" s="27">
        <v>1</v>
      </c>
      <c r="P36" s="69" t="str">
        <f t="shared" si="0"/>
        <v>Ok</v>
      </c>
    </row>
    <row r="37" spans="1:18" x14ac:dyDescent="0.25">
      <c r="A37" s="6"/>
      <c r="B37" s="6"/>
      <c r="C37" s="13" t="str">
        <f>C18</f>
        <v>Change manangement and documentation</v>
      </c>
      <c r="D37" s="14" t="s">
        <v>21</v>
      </c>
      <c r="E37" s="14" t="s">
        <v>5</v>
      </c>
      <c r="F37" s="14" t="s">
        <v>6</v>
      </c>
      <c r="G37" s="6"/>
      <c r="H37" s="49">
        <f>H18*'Input|Inflation'!$D$5</f>
        <v>0</v>
      </c>
      <c r="I37" s="49">
        <f>I18*'Input|Inflation'!$D$5</f>
        <v>0</v>
      </c>
      <c r="J37" s="49">
        <f>J18*'Input|Inflation'!$D$5</f>
        <v>4642.8347025409594</v>
      </c>
      <c r="K37" s="49">
        <f>K18*'Input|Inflation'!$D$5</f>
        <v>4642.8347025409594</v>
      </c>
      <c r="L37" s="49">
        <f>L18*'Input|Inflation'!$D$5</f>
        <v>4642.8347025409594</v>
      </c>
      <c r="N37" s="27">
        <v>1</v>
      </c>
      <c r="P37" s="69" t="str">
        <f t="shared" si="0"/>
        <v>Ok</v>
      </c>
    </row>
    <row r="38" spans="1:18" x14ac:dyDescent="0.25">
      <c r="A38" s="6"/>
      <c r="B38" s="6"/>
      <c r="C38" s="13" t="str">
        <f>C22</f>
        <v>Training and capability building</v>
      </c>
      <c r="D38" s="14" t="s">
        <v>21</v>
      </c>
      <c r="E38" s="14" t="s">
        <v>5</v>
      </c>
      <c r="F38" s="14" t="s">
        <v>6</v>
      </c>
      <c r="G38" s="6"/>
      <c r="H38" s="49">
        <f>H22*'Input|Inflation'!$D$5</f>
        <v>0</v>
      </c>
      <c r="I38" s="49">
        <f>I22*'Input|Inflation'!$D$5</f>
        <v>0</v>
      </c>
      <c r="J38" s="49">
        <f>J22*'Input|Inflation'!$D$5</f>
        <v>19093.657714199693</v>
      </c>
      <c r="K38" s="49">
        <f>K22*'Input|Inflation'!$D$5</f>
        <v>19093.657714199693</v>
      </c>
      <c r="L38" s="49">
        <f>L22*'Input|Inflation'!$D$5</f>
        <v>19093.657714199693</v>
      </c>
      <c r="N38" s="27">
        <v>1</v>
      </c>
      <c r="P38" s="69" t="str">
        <f t="shared" si="0"/>
        <v>Ok</v>
      </c>
    </row>
    <row r="39" spans="1:18" x14ac:dyDescent="0.25">
      <c r="A39" s="6"/>
      <c r="B39" s="6"/>
    </row>
    <row r="40" spans="1:18" x14ac:dyDescent="0.25">
      <c r="A40" s="6"/>
      <c r="B40" s="6"/>
      <c r="C40" s="21" t="s">
        <v>16</v>
      </c>
      <c r="D40" s="14" t="s">
        <v>21</v>
      </c>
      <c r="E40" s="14" t="s">
        <v>5</v>
      </c>
      <c r="F40" s="14" t="s">
        <v>6</v>
      </c>
      <c r="H40" s="51">
        <f>SUMPRODUCT(H$31:H$38,$N$31:$N$38)*'Input|Cost escalation'!F$6</f>
        <v>0</v>
      </c>
      <c r="I40" s="51">
        <f>SUMPRODUCT(I$31:I$38,$N$31:$N$38)*'Input|Cost escalation'!G$6</f>
        <v>1148.4366286570009</v>
      </c>
      <c r="J40" s="51">
        <f>SUMPRODUCT(J$31:J$38,$N$31:$N$38)*'Input|Cost escalation'!H$6</f>
        <v>17776.273528420606</v>
      </c>
      <c r="K40" s="51">
        <f>SUMPRODUCT(K$31:K$38,$N$31:$N$38)*'Input|Cost escalation'!I$6</f>
        <v>21347.082450534352</v>
      </c>
      <c r="L40" s="51">
        <f>SUMPRODUCT(L$31:L$38,$N$31:$N$38)*'Input|Cost escalation'!J$6</f>
        <v>26256.123206778477</v>
      </c>
    </row>
    <row r="42" spans="1:18" x14ac:dyDescent="0.25">
      <c r="C42" s="23" t="s">
        <v>45</v>
      </c>
      <c r="D42" s="24" t="s">
        <v>21</v>
      </c>
      <c r="E42" s="24" t="s">
        <v>5</v>
      </c>
      <c r="F42" s="24" t="s">
        <v>6</v>
      </c>
      <c r="H42" s="52">
        <f t="shared" ref="H42:L42" si="1">SUM(H31:H38,H40)</f>
        <v>0</v>
      </c>
      <c r="I42" s="52">
        <f t="shared" si="1"/>
        <v>30166.153519537995</v>
      </c>
      <c r="J42" s="52">
        <f t="shared" si="1"/>
        <v>412673.80176618026</v>
      </c>
      <c r="K42" s="52">
        <f t="shared" si="1"/>
        <v>416244.61068829399</v>
      </c>
      <c r="L42" s="52">
        <f t="shared" si="1"/>
        <v>421153.65144453815</v>
      </c>
      <c r="R42" s="52">
        <f>SUM(H42:L42)</f>
        <v>1280238.2174185505</v>
      </c>
    </row>
  </sheetData>
  <mergeCells count="8">
    <mergeCell ref="N16:AI16"/>
    <mergeCell ref="N5:AI5"/>
    <mergeCell ref="N6:AI6"/>
    <mergeCell ref="N3:AI3"/>
    <mergeCell ref="N8:AI8"/>
    <mergeCell ref="N10:AI10"/>
    <mergeCell ref="N12:AI12"/>
    <mergeCell ref="N14:AI14"/>
  </mergeCells>
  <conditionalFormatting sqref="P31:P38">
    <cfRule type="containsText" dxfId="10" priority="5" operator="containsText" text="ok">
      <formula>NOT(ISERROR(SEARCH("ok",P31)))</formula>
    </cfRule>
    <cfRule type="containsText" dxfId="9" priority="6" operator="containsText" text="check">
      <formula>NOT(ISERROR(SEARCH("check",P31)))</formula>
    </cfRule>
  </conditionalFormatting>
  <conditionalFormatting sqref="P26">
    <cfRule type="containsText" dxfId="8" priority="3" operator="containsText" text="ok">
      <formula>NOT(ISERROR(SEARCH("ok",P26)))</formula>
    </cfRule>
    <cfRule type="containsText" dxfId="7" priority="4" operator="containsText" text="check">
      <formula>NOT(ISERROR(SEARCH("check",P26)))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147D-1B9B-415B-B6D2-D94D6B4DD7C2}">
  <sheetPr>
    <tabColor theme="8" tint="0.39997558519241921"/>
  </sheetPr>
  <dimension ref="A1:BC15"/>
  <sheetViews>
    <sheetView showGridLines="0" tabSelected="1" workbookViewId="0">
      <selection activeCell="O12" sqref="O12"/>
    </sheetView>
  </sheetViews>
  <sheetFormatPr defaultRowHeight="15" x14ac:dyDescent="0.25"/>
  <cols>
    <col min="1" max="1" width="3" customWidth="1"/>
    <col min="2" max="2" width="3.28515625" customWidth="1"/>
    <col min="3" max="3" width="53.7109375" customWidth="1"/>
    <col min="7" max="14" width="1.28515625" customWidth="1"/>
    <col min="15" max="19" width="14" customWidth="1"/>
    <col min="21" max="21" width="14" customWidth="1"/>
  </cols>
  <sheetData>
    <row r="1" spans="1:55" x14ac:dyDescent="0.25">
      <c r="A1" s="2"/>
      <c r="B1" s="3" t="s">
        <v>17</v>
      </c>
      <c r="C1" s="2"/>
      <c r="D1" s="2"/>
      <c r="E1" s="2"/>
      <c r="F1" s="4"/>
      <c r="G1" s="5"/>
      <c r="H1" s="5"/>
      <c r="I1" s="5"/>
      <c r="J1" s="5"/>
      <c r="K1" s="5"/>
      <c r="L1" s="5"/>
      <c r="M1" s="5"/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25">
      <c r="A2" s="6"/>
      <c r="B2" s="6"/>
      <c r="C2" s="6"/>
      <c r="D2" s="6"/>
      <c r="E2" s="6"/>
      <c r="F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55" x14ac:dyDescent="0.25">
      <c r="A3" s="6"/>
      <c r="B3" s="6"/>
      <c r="C3" s="22" t="s">
        <v>13</v>
      </c>
      <c r="D3" s="77" t="s">
        <v>27</v>
      </c>
      <c r="E3" s="78"/>
      <c r="F3" s="7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55" x14ac:dyDescent="0.25">
      <c r="A4" s="6"/>
      <c r="B4" s="6"/>
      <c r="C4" s="6"/>
      <c r="D4" s="6"/>
      <c r="E4" s="6"/>
      <c r="F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55" x14ac:dyDescent="0.25">
      <c r="A5" s="6"/>
      <c r="B5" s="6"/>
      <c r="C5" s="22" t="s">
        <v>19</v>
      </c>
      <c r="D5" s="14" t="str">
        <f>'Input|Forecast'!$P$26</f>
        <v>Ok</v>
      </c>
      <c r="E5" s="6"/>
      <c r="F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55" x14ac:dyDescent="0.25">
      <c r="A6" s="6"/>
      <c r="B6" s="6"/>
      <c r="C6" s="6"/>
      <c r="D6" s="6"/>
      <c r="E6" s="6"/>
      <c r="F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55" x14ac:dyDescent="0.25">
      <c r="A7" s="6"/>
      <c r="B7" s="6"/>
      <c r="C7" s="6"/>
      <c r="D7" s="6"/>
      <c r="E7" s="6"/>
      <c r="F7" s="6"/>
      <c r="N7" s="6"/>
      <c r="O7" s="7"/>
      <c r="P7" s="7"/>
      <c r="Q7" s="7"/>
      <c r="R7" s="7"/>
      <c r="S7" s="16"/>
      <c r="T7" s="6"/>
    </row>
    <row r="8" spans="1:55" x14ac:dyDescent="0.25">
      <c r="A8" s="8"/>
      <c r="B8" s="9"/>
      <c r="C8" s="20" t="s">
        <v>48</v>
      </c>
      <c r="D8" s="1" t="s">
        <v>1</v>
      </c>
      <c r="E8" s="1" t="s">
        <v>2</v>
      </c>
      <c r="F8" s="1" t="s">
        <v>3</v>
      </c>
      <c r="N8" s="11"/>
      <c r="O8" s="12" t="s">
        <v>7</v>
      </c>
      <c r="P8" s="12" t="s">
        <v>8</v>
      </c>
      <c r="Q8" s="12" t="s">
        <v>9</v>
      </c>
      <c r="R8" s="12" t="s">
        <v>10</v>
      </c>
      <c r="S8" s="17" t="s">
        <v>11</v>
      </c>
      <c r="T8" s="8"/>
      <c r="U8" s="17" t="s">
        <v>93</v>
      </c>
    </row>
    <row r="9" spans="1:55" x14ac:dyDescent="0.25">
      <c r="A9" s="6"/>
      <c r="B9" s="6"/>
      <c r="C9" s="6"/>
      <c r="D9" s="6"/>
      <c r="E9" s="6"/>
      <c r="F9" s="6"/>
      <c r="N9" s="6"/>
      <c r="O9" s="6"/>
      <c r="P9" s="6"/>
      <c r="Q9" s="6"/>
      <c r="R9" s="6"/>
      <c r="S9" s="18"/>
      <c r="T9" s="6"/>
    </row>
    <row r="10" spans="1:55" x14ac:dyDescent="0.25">
      <c r="A10" s="6"/>
      <c r="B10" s="6"/>
      <c r="C10" s="19" t="str">
        <f>D3</f>
        <v>REFCL testing and maintenance</v>
      </c>
      <c r="D10" s="14" t="s">
        <v>4</v>
      </c>
      <c r="E10" s="14" t="s">
        <v>5</v>
      </c>
      <c r="F10" s="14" t="s">
        <v>6</v>
      </c>
      <c r="N10" s="6"/>
      <c r="O10" s="25">
        <f>'Input|Forecast'!H42/10^6</f>
        <v>0</v>
      </c>
      <c r="P10" s="25">
        <f>'Input|Forecast'!I42/10^6</f>
        <v>3.0166153519537994E-2</v>
      </c>
      <c r="Q10" s="25">
        <f>'Input|Forecast'!J42/10^6</f>
        <v>0.41267380176618024</v>
      </c>
      <c r="R10" s="25">
        <f>'Input|Forecast'!K42/10^6</f>
        <v>0.41624461068829399</v>
      </c>
      <c r="S10" s="25">
        <f>'Input|Forecast'!L42/10^6</f>
        <v>0.42115365144453815</v>
      </c>
      <c r="T10" s="6"/>
      <c r="U10" s="67">
        <f>SUM(O10:S10)</f>
        <v>1.2802382174185505</v>
      </c>
    </row>
    <row r="11" spans="1:55" x14ac:dyDescent="0.25">
      <c r="A11" s="6"/>
      <c r="B11" s="6"/>
      <c r="C11" s="19"/>
      <c r="D11" s="14"/>
      <c r="E11" s="14"/>
      <c r="F11" s="14"/>
      <c r="N11" s="6"/>
      <c r="O11" s="6"/>
      <c r="P11" s="6"/>
      <c r="Q11" s="6"/>
      <c r="R11" s="6"/>
      <c r="S11" s="18"/>
      <c r="T11" s="6"/>
      <c r="U11" s="68"/>
    </row>
    <row r="12" spans="1:55" x14ac:dyDescent="0.25">
      <c r="A12" s="6"/>
      <c r="B12" s="6"/>
      <c r="C12" s="19" t="str">
        <f>D3</f>
        <v>REFCL testing and maintenance</v>
      </c>
      <c r="D12" s="14" t="s">
        <v>4</v>
      </c>
      <c r="E12" s="14" t="s">
        <v>88</v>
      </c>
      <c r="F12" s="14" t="s">
        <v>89</v>
      </c>
      <c r="N12" s="6"/>
      <c r="O12" s="25">
        <f>'Input|Forecast'!H42*'Input|Inflation'!$D$4/10^6</f>
        <v>0</v>
      </c>
      <c r="P12" s="25">
        <f>'Input|Forecast'!I42*'Input|Inflation'!$D$4/10^6</f>
        <v>3.1381627883785006E-2</v>
      </c>
      <c r="Q12" s="25">
        <f>'Input|Forecast'!J42*'Input|Inflation'!$D$4/10^6</f>
        <v>0.42930152417428491</v>
      </c>
      <c r="R12" s="25">
        <f>'Input|Forecast'!K42*'Input|Inflation'!$D$4/10^6</f>
        <v>0.43301621046219008</v>
      </c>
      <c r="S12" s="25">
        <f>'Input|Forecast'!L42*'Input|Inflation'!$D$4/10^6</f>
        <v>0.43812304949551301</v>
      </c>
      <c r="T12" s="6"/>
      <c r="U12" s="67">
        <f>SUM(O12:S12)</f>
        <v>1.3318224120157731</v>
      </c>
    </row>
    <row r="13" spans="1:55" x14ac:dyDescent="0.25">
      <c r="A13" s="6"/>
      <c r="B13" s="6"/>
    </row>
    <row r="14" spans="1:55" x14ac:dyDescent="0.25">
      <c r="A14" s="6"/>
      <c r="B14" s="6"/>
    </row>
    <row r="15" spans="1:55" x14ac:dyDescent="0.25">
      <c r="A15" s="6"/>
      <c r="B15" s="6"/>
    </row>
  </sheetData>
  <mergeCells count="1">
    <mergeCell ref="D3:F3"/>
  </mergeCells>
  <conditionalFormatting sqref="D5">
    <cfRule type="containsText" dxfId="6" priority="4" operator="containsText" text="ok">
      <formula>NOT(ISERROR(SEARCH("ok",D5)))</formula>
    </cfRule>
    <cfRule type="containsText" dxfId="5" priority="5" operator="containsText" text="check">
      <formula>NOT(ISERROR(SEARCH("check",D5)))</formula>
    </cfRule>
  </conditionalFormatting>
  <conditionalFormatting sqref="C10:C12">
    <cfRule type="containsText" dxfId="4" priority="3" operator="containsText" text="[Insert title]">
      <formula>NOT(ISERROR(SEARCH("[Insert title]",C10)))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3EB1-FE56-40B6-91CE-BF85CBF313A2}">
  <sheetPr>
    <tabColor theme="8" tint="0.39997558519241921"/>
  </sheetPr>
  <dimension ref="A1:BC14"/>
  <sheetViews>
    <sheetView showGridLines="0" topLeftCell="A4" workbookViewId="0">
      <selection activeCell="C8" sqref="C8"/>
    </sheetView>
  </sheetViews>
  <sheetFormatPr defaultRowHeight="15" x14ac:dyDescent="0.25"/>
  <cols>
    <col min="1" max="1" width="3" customWidth="1"/>
    <col min="2" max="2" width="3.28515625" customWidth="1"/>
    <col min="3" max="3" width="53.7109375" customWidth="1"/>
  </cols>
  <sheetData>
    <row r="1" spans="1:55" x14ac:dyDescent="0.25">
      <c r="A1" s="2"/>
      <c r="B1" s="3" t="s">
        <v>94</v>
      </c>
      <c r="C1" s="2"/>
      <c r="D1" s="2"/>
      <c r="E1" s="2"/>
      <c r="F1" s="4"/>
      <c r="G1" s="5"/>
      <c r="H1" s="5"/>
      <c r="I1" s="5"/>
      <c r="J1" s="5"/>
      <c r="K1" s="5"/>
      <c r="L1" s="5"/>
      <c r="M1" s="5"/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15.75" thickBot="1" x14ac:dyDescent="0.3">
      <c r="A2" s="6"/>
      <c r="B2" s="6"/>
    </row>
    <row r="3" spans="1:55" ht="15.75" thickBot="1" x14ac:dyDescent="0.3">
      <c r="A3" s="6"/>
      <c r="B3" s="6"/>
      <c r="C3" s="32" t="s">
        <v>32</v>
      </c>
      <c r="D3" s="32" t="s">
        <v>33</v>
      </c>
      <c r="E3" s="32" t="s">
        <v>34</v>
      </c>
      <c r="F3" s="32" t="s">
        <v>35</v>
      </c>
      <c r="G3" s="32" t="s">
        <v>36</v>
      </c>
      <c r="H3" s="33" t="s">
        <v>37</v>
      </c>
    </row>
    <row r="4" spans="1:55" ht="16.5" thickTop="1" thickBot="1" x14ac:dyDescent="0.3">
      <c r="A4" s="6"/>
      <c r="B4" s="6"/>
      <c r="C4" s="34" t="s">
        <v>38</v>
      </c>
      <c r="D4" s="37">
        <f>('Input|Forecast'!H32+('Input|Forecast'!H32*'Input|Forecast'!$N32*'Input|Cost escalation'!F$6))*'Input|Inflation'!$D$3/10^6</f>
        <v>0</v>
      </c>
      <c r="E4" s="37">
        <f>('Input|Forecast'!I32+('Input|Forecast'!I32*'Input|Forecast'!$N32*'Input|Cost escalation'!G$6))*'Input|Inflation'!$D$3/10^6</f>
        <v>0</v>
      </c>
      <c r="F4" s="37">
        <f>('Input|Forecast'!J32+('Input|Forecast'!J32*'Input|Forecast'!$N32*'Input|Cost escalation'!H$6))*'Input|Inflation'!$D$3/10^6</f>
        <v>0.24161468627297639</v>
      </c>
      <c r="G4" s="37">
        <f>('Input|Forecast'!K32+('Input|Forecast'!K32*'Input|Forecast'!$N32*'Input|Cost escalation'!I$6))*'Input|Inflation'!$D$3/10^6</f>
        <v>0.24370534449689268</v>
      </c>
      <c r="H4" s="38">
        <f>('Input|Forecast'!L32+('Input|Forecast'!L32*'Input|Forecast'!$N32*'Input|Cost escalation'!J$6))*'Input|Inflation'!$D$3/10^6</f>
        <v>0.24657951857129445</v>
      </c>
    </row>
    <row r="5" spans="1:55" ht="15.75" thickBot="1" x14ac:dyDescent="0.3">
      <c r="C5" s="34" t="s">
        <v>39</v>
      </c>
      <c r="D5" s="37">
        <f>('Input|Forecast'!H33+('Input|Forecast'!H33*'Input|Forecast'!$N33*'Input|Cost escalation'!F$6))*'Input|Inflation'!$D$3/10^6</f>
        <v>0</v>
      </c>
      <c r="E5" s="37">
        <f>('Input|Forecast'!I33+('Input|Forecast'!I33*'Input|Forecast'!$N33*'Input|Cost escalation'!G$6))*'Input|Inflation'!$D$3/10^6</f>
        <v>0</v>
      </c>
      <c r="F5" s="37">
        <f>('Input|Forecast'!J33+('Input|Forecast'!J33*'Input|Forecast'!$N33*'Input|Cost escalation'!H$6))*'Input|Inflation'!$D$3/10^6</f>
        <v>4.2125210111642518E-2</v>
      </c>
      <c r="G5" s="37">
        <f>('Input|Forecast'!K33+('Input|Forecast'!K33*'Input|Forecast'!$N33*'Input|Cost escalation'!I$6))*'Input|Inflation'!$D$3/10^6</f>
        <v>4.2489713686787806E-2</v>
      </c>
      <c r="H5" s="38">
        <f>('Input|Forecast'!L33+('Input|Forecast'!L33*'Input|Forecast'!$N33*'Input|Cost escalation'!J$6))*'Input|Inflation'!$D$3/10^6</f>
        <v>4.2990822243760288E-2</v>
      </c>
    </row>
    <row r="6" spans="1:55" ht="15.75" thickBot="1" x14ac:dyDescent="0.3">
      <c r="C6" s="34" t="s">
        <v>40</v>
      </c>
      <c r="D6" s="37">
        <f>('Input|Forecast'!H34+('Input|Forecast'!H34*'Input|Forecast'!$N34*'Input|Cost escalation'!F$6))*'Input|Inflation'!$D$3/10^6</f>
        <v>0</v>
      </c>
      <c r="E6" s="37">
        <f>('Input|Forecast'!I34+('Input|Forecast'!I34*'Input|Forecast'!$N34*'Input|Cost escalation'!G$6))*'Input|Inflation'!$D$3/10^6</f>
        <v>0</v>
      </c>
      <c r="F6" s="37">
        <f>('Input|Forecast'!J34+('Input|Forecast'!J34*'Input|Forecast'!$N34*'Input|Cost escalation'!H$6))*'Input|Inflation'!$D$3/10^6</f>
        <v>4.4231470617224648E-2</v>
      </c>
      <c r="G6" s="37">
        <f>('Input|Forecast'!K34+('Input|Forecast'!K34*'Input|Forecast'!$N34*'Input|Cost escalation'!I$6))*'Input|Inflation'!$D$3/10^6</f>
        <v>4.4614199371127199E-2</v>
      </c>
      <c r="H6" s="38">
        <f>('Input|Forecast'!L34+('Input|Forecast'!L34*'Input|Forecast'!$N34*'Input|Cost escalation'!J$6))*'Input|Inflation'!$D$3/10^6</f>
        <v>4.5140363355948308E-2</v>
      </c>
    </row>
    <row r="7" spans="1:55" ht="15.75" thickBot="1" x14ac:dyDescent="0.3">
      <c r="C7" s="34" t="s">
        <v>41</v>
      </c>
      <c r="D7" s="37">
        <f>('Input|Forecast'!H35+('Input|Forecast'!H35*'Input|Forecast'!$N35*'Input|Cost escalation'!F$6))*'Input|Inflation'!$D$3/10^6</f>
        <v>0</v>
      </c>
      <c r="E7" s="37">
        <f>('Input|Forecast'!I35+('Input|Forecast'!I35*'Input|Forecast'!$N35*'Input|Cost escalation'!G$6))*'Input|Inflation'!$D$3/10^6</f>
        <v>0</v>
      </c>
      <c r="F7" s="37">
        <f>('Input|Forecast'!J35+('Input|Forecast'!J35*'Input|Forecast'!$N35*'Input|Cost escalation'!H$6))*'Input|Inflation'!$D$3/10^6</f>
        <v>6.9822535760047488E-2</v>
      </c>
      <c r="G7" s="37">
        <f>('Input|Forecast'!K35+('Input|Forecast'!K35*'Input|Forecast'!$N35*'Input|Cost escalation'!I$6))*'Input|Inflation'!$D$3/10^6</f>
        <v>7.0426700435850795E-2</v>
      </c>
      <c r="H7" s="38">
        <f>('Input|Forecast'!L35+('Input|Forecast'!L35*'Input|Forecast'!$N35*'Input|Cost escalation'!J$6))*'Input|Inflation'!$D$3/10^6</f>
        <v>7.1257287869032696E-2</v>
      </c>
    </row>
    <row r="8" spans="1:55" ht="15.75" thickBot="1" x14ac:dyDescent="0.3">
      <c r="C8" s="34" t="s">
        <v>26</v>
      </c>
      <c r="D8" s="37">
        <f>('Input|Forecast'!H36+('Input|Forecast'!H36*'Input|Forecast'!$N36*'Input|Cost escalation'!F$6))*'Input|Inflation'!$D$3/10^6</f>
        <v>0</v>
      </c>
      <c r="E8" s="37">
        <f>('Input|Forecast'!I36+('Input|Forecast'!I36*'Input|Forecast'!$N36*'Input|Cost escalation'!G$6))*'Input|Inflation'!$D$3/10^6</f>
        <v>0</v>
      </c>
      <c r="F8" s="37">
        <f>('Input|Forecast'!J36+('Input|Forecast'!J36*'Input|Forecast'!$N36*'Input|Cost escalation'!H$6))*'Input|Inflation'!$D$3/10^6</f>
        <v>6.3187815167463791E-3</v>
      </c>
      <c r="G8" s="37">
        <f>('Input|Forecast'!K36+('Input|Forecast'!K36*'Input|Forecast'!$N36*'Input|Cost escalation'!I$6))*'Input|Inflation'!$D$3/10^6</f>
        <v>6.3734570530181705E-3</v>
      </c>
      <c r="H8" s="38">
        <f>('Input|Forecast'!L36+('Input|Forecast'!L36*'Input|Forecast'!$N36*'Input|Cost escalation'!J$6))*'Input|Inflation'!$D$3/10^6</f>
        <v>6.4486233365640437E-3</v>
      </c>
    </row>
    <row r="9" spans="1:55" ht="15.75" thickBot="1" x14ac:dyDescent="0.3">
      <c r="C9" s="34" t="s">
        <v>42</v>
      </c>
      <c r="D9" s="37">
        <f>('Input|Forecast'!H37+('Input|Forecast'!H37*'Input|Forecast'!$N37*'Input|Cost escalation'!F$6))*'Input|Inflation'!$D$3/10^6</f>
        <v>0</v>
      </c>
      <c r="E9" s="37">
        <f>('Input|Forecast'!I37+('Input|Forecast'!I37*'Input|Forecast'!$N37*'Input|Cost escalation'!G$6))*'Input|Inflation'!$D$3/10^6</f>
        <v>0</v>
      </c>
      <c r="F9" s="37">
        <f>('Input|Forecast'!J37+('Input|Forecast'!J37*'Input|Forecast'!$N37*'Input|Cost escalation'!H$6))*'Input|Inflation'!$D$3/10^6</f>
        <v>5.0550252133971024E-3</v>
      </c>
      <c r="G9" s="37">
        <f>('Input|Forecast'!K37+('Input|Forecast'!K37*'Input|Forecast'!$N37*'Input|Cost escalation'!I$6))*'Input|Inflation'!$D$3/10^6</f>
        <v>5.0987656424145373E-3</v>
      </c>
      <c r="H9" s="38">
        <f>('Input|Forecast'!L37+('Input|Forecast'!L37*'Input|Forecast'!$N37*'Input|Cost escalation'!J$6))*'Input|Inflation'!$D$3/10^6</f>
        <v>5.1588986692512363E-3</v>
      </c>
    </row>
    <row r="10" spans="1:55" ht="15.75" thickBot="1" x14ac:dyDescent="0.3">
      <c r="C10" s="34" t="s">
        <v>43</v>
      </c>
      <c r="D10" s="37">
        <f>('Input|Forecast'!H38+('Input|Forecast'!H38*'Input|Forecast'!$N38*'Input|Cost escalation'!F$6))*'Input|Inflation'!$D$3/10^6</f>
        <v>0</v>
      </c>
      <c r="E10" s="37">
        <f>('Input|Forecast'!I38+('Input|Forecast'!I38*'Input|Forecast'!$N38*'Input|Cost escalation'!G$6))*'Input|Inflation'!$D$3/10^6</f>
        <v>0</v>
      </c>
      <c r="F10" s="37">
        <f>('Input|Forecast'!J38+('Input|Forecast'!J38*'Input|Forecast'!$N38*'Input|Cost escalation'!H$6))*'Input|Inflation'!$D$3/10^6</f>
        <v>2.0788791190095583E-2</v>
      </c>
      <c r="G10" s="37">
        <f>('Input|Forecast'!K38+('Input|Forecast'!K38*'Input|Forecast'!$N38*'Input|Cost escalation'!I$6))*'Input|Inflation'!$D$3/10^6</f>
        <v>2.0968673704429782E-2</v>
      </c>
      <c r="H10" s="38">
        <f>('Input|Forecast'!L38+('Input|Forecast'!L38*'Input|Forecast'!$N38*'Input|Cost escalation'!J$6))*'Input|Inflation'!$D$3/10^6</f>
        <v>2.1215970777295704E-2</v>
      </c>
    </row>
    <row r="11" spans="1:55" ht="15.75" thickBot="1" x14ac:dyDescent="0.3">
      <c r="C11" s="34" t="s">
        <v>44</v>
      </c>
      <c r="D11" s="37">
        <f>('Input|Forecast'!H31+('Input|Forecast'!H31*'Input|Forecast'!$N31*'Input|Cost escalation'!F$6))*'Input|Inflation'!$D$3/10^6</f>
        <v>0</v>
      </c>
      <c r="E11" s="37">
        <f>('Input|Forecast'!I31+('Input|Forecast'!I31*'Input|Forecast'!$N31*'Input|Cost escalation'!G$6))*'Input|Inflation'!$D$3/10^6</f>
        <v>3.1429506188157104E-2</v>
      </c>
      <c r="F11" s="37">
        <f>('Input|Forecast'!J31+('Input|Forecast'!J31*'Input|Forecast'!$N31*'Input|Cost escalation'!H$6))*'Input|Inflation'!$D$3/10^6</f>
        <v>0</v>
      </c>
      <c r="G11" s="37">
        <f>('Input|Forecast'!K31+('Input|Forecast'!K31*'Input|Forecast'!$N31*'Input|Cost escalation'!I$6))*'Input|Inflation'!$D$3/10^6</f>
        <v>0</v>
      </c>
      <c r="H11" s="38">
        <f>('Input|Forecast'!L31+('Input|Forecast'!L31*'Input|Forecast'!$N31*'Input|Cost escalation'!J$6))*'Input|Inflation'!$D$3/10^6</f>
        <v>0</v>
      </c>
      <c r="U11" s="36"/>
    </row>
    <row r="12" spans="1:55" ht="15.75" thickBot="1" x14ac:dyDescent="0.3">
      <c r="C12" s="35" t="s">
        <v>45</v>
      </c>
      <c r="D12" s="39">
        <f>SUM(D4:D11)</f>
        <v>0</v>
      </c>
      <c r="E12" s="39">
        <f t="shared" ref="E12:H12" si="0">SUM(E4:E11)</f>
        <v>3.1429506188157104E-2</v>
      </c>
      <c r="F12" s="39">
        <f t="shared" si="0"/>
        <v>0.42995650068213009</v>
      </c>
      <c r="G12" s="39">
        <f t="shared" si="0"/>
        <v>0.433676854390521</v>
      </c>
      <c r="H12" s="43">
        <f t="shared" si="0"/>
        <v>0.43879148482314667</v>
      </c>
    </row>
    <row r="13" spans="1:55" ht="15.75" thickTop="1" x14ac:dyDescent="0.25">
      <c r="U13" s="14"/>
    </row>
    <row r="14" spans="1:55" x14ac:dyDescent="0.25">
      <c r="D14" s="14" t="str">
        <f>IF(ROUND(D12/'Input|Inflation'!$D$3-'Output|Summary'!O12/'Input|Inflation'!$D$4,3)=0,"Ok","Check")</f>
        <v>Ok</v>
      </c>
      <c r="E14" s="14" t="str">
        <f>IF(ROUND(E12/'Input|Inflation'!$D$3-'Output|Summary'!P12/'Input|Inflation'!$D$4,3)=0,"Ok","Check")</f>
        <v>Ok</v>
      </c>
      <c r="F14" s="14" t="str">
        <f>IF(ROUND(F12/'Input|Inflation'!$D$3-'Output|Summary'!Q12/'Input|Inflation'!$D$4,3)=0,"Ok","Check")</f>
        <v>Ok</v>
      </c>
      <c r="G14" s="14" t="str">
        <f>IF(ROUND(G12/'Input|Inflation'!$D$3-'Output|Summary'!R12/'Input|Inflation'!$D$4,3)=0,"Ok","Check")</f>
        <v>Ok</v>
      </c>
      <c r="H14" s="14" t="str">
        <f>IF(ROUND(H12/'Input|Inflation'!$D$3-'Output|Summary'!S12/'Input|Inflation'!$D$4,3)=0,"Ok","Check")</f>
        <v>Ok</v>
      </c>
    </row>
  </sheetData>
  <conditionalFormatting sqref="U13">
    <cfRule type="containsText" dxfId="3" priority="3" operator="containsText" text="ok">
      <formula>NOT(ISERROR(SEARCH("ok",U13)))</formula>
    </cfRule>
    <cfRule type="containsText" dxfId="2" priority="4" operator="containsText" text="check">
      <formula>NOT(ISERROR(SEARCH("check",U13)))</formula>
    </cfRule>
  </conditionalFormatting>
  <conditionalFormatting sqref="D14:H14">
    <cfRule type="containsText" dxfId="1" priority="1" operator="containsText" text="ok">
      <formula>NOT(ISERROR(SEARCH("ok",D14)))</formula>
    </cfRule>
    <cfRule type="containsText" dxfId="0" priority="2" operator="containsText" text="check">
      <formula>NOT(ISERROR(SEARCH("check",D14)))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Input|Inflation</vt:lpstr>
      <vt:lpstr>Input|Cost escalation</vt:lpstr>
      <vt:lpstr>Input|Fault test workings</vt:lpstr>
      <vt:lpstr>Input|Forecast</vt:lpstr>
      <vt:lpstr>Output|Summary</vt:lpstr>
      <vt:lpstr>Output|Table for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2020-12-02T05:34:41Z</dcterms:created>
  <dcterms:modified xsi:type="dcterms:W3CDTF">2020-12-02T05:34:48Z</dcterms:modified>
</cp:coreProperties>
</file>