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38640" windowHeight="21240" tabRatio="820"/>
  </bookViews>
  <sheets>
    <sheet name="Output|Benchmarking Results" sheetId="13" r:id="rId1"/>
    <sheet name="Common CAM-&gt;" sheetId="5" r:id="rId2"/>
    <sheet name="Input|Opex" sheetId="15" r:id="rId3"/>
    <sheet name="Calc|Cost Drivers" sheetId="2" r:id="rId4"/>
    <sheet name="Calc|Eff Target" sheetId="3" r:id="rId5"/>
    <sheet name="Calc|Opex Forecasts" sheetId="4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3" l="1"/>
  <c r="D36" i="13"/>
  <c r="G28" i="13"/>
  <c r="F28" i="13"/>
  <c r="E28" i="13"/>
  <c r="D28" i="13"/>
  <c r="E29" i="13" l="1"/>
  <c r="D29" i="13"/>
  <c r="F29" i="13"/>
  <c r="G29" i="13"/>
  <c r="H18" i="15" l="1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F25" i="2" s="1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H166" i="15"/>
  <c r="H167" i="15"/>
  <c r="H168" i="15"/>
  <c r="H169" i="15"/>
  <c r="H170" i="15"/>
  <c r="H171" i="15"/>
  <c r="H172" i="15"/>
  <c r="H173" i="15"/>
  <c r="H174" i="15"/>
  <c r="H175" i="15"/>
  <c r="H176" i="15"/>
  <c r="H177" i="15"/>
  <c r="H178" i="15"/>
  <c r="H179" i="15"/>
  <c r="H180" i="15"/>
  <c r="H181" i="15"/>
  <c r="H182" i="15"/>
  <c r="H183" i="15"/>
  <c r="H184" i="15"/>
  <c r="H185" i="15"/>
  <c r="H186" i="15"/>
  <c r="H187" i="15"/>
  <c r="H188" i="15"/>
  <c r="H189" i="15"/>
  <c r="H190" i="15"/>
  <c r="H191" i="15"/>
  <c r="H192" i="15"/>
  <c r="H193" i="15"/>
  <c r="H194" i="15"/>
  <c r="H195" i="15"/>
  <c r="H196" i="15"/>
  <c r="H197" i="15"/>
  <c r="H198" i="15"/>
  <c r="H17" i="15"/>
  <c r="C1" i="15" l="1"/>
  <c r="C1" i="4"/>
  <c r="C1" i="3"/>
  <c r="C1" i="2"/>
  <c r="I25" i="13" l="1"/>
  <c r="H25" i="13"/>
  <c r="H27" i="13" l="1"/>
  <c r="D12" i="13" s="1"/>
  <c r="I27" i="13"/>
  <c r="D13" i="13" s="1"/>
  <c r="H28" i="13"/>
  <c r="I28" i="13"/>
  <c r="I29" i="13" l="1"/>
  <c r="E13" i="13" s="1"/>
  <c r="H29" i="13"/>
  <c r="E12" i="13" s="1"/>
  <c r="I33" i="13"/>
  <c r="H33" i="13"/>
  <c r="C46" i="13"/>
  <c r="C45" i="13"/>
  <c r="C44" i="13"/>
  <c r="I42" i="13"/>
  <c r="H42" i="13"/>
  <c r="C12" i="3" l="1"/>
  <c r="C13" i="2"/>
  <c r="G19" i="4" l="1"/>
  <c r="G18" i="4"/>
  <c r="K38" i="3"/>
  <c r="K39" i="3"/>
  <c r="D90" i="4" l="1"/>
  <c r="H87" i="4"/>
  <c r="M87" i="4" s="1"/>
  <c r="F79" i="4"/>
  <c r="G79" i="4" s="1"/>
  <c r="H70" i="4"/>
  <c r="H69" i="4"/>
  <c r="D64" i="4"/>
  <c r="J64" i="4" s="1"/>
  <c r="H57" i="4"/>
  <c r="G57" i="4"/>
  <c r="D57" i="4"/>
  <c r="J56" i="4"/>
  <c r="D56" i="4"/>
  <c r="D50" i="4"/>
  <c r="M47" i="4"/>
  <c r="G39" i="4"/>
  <c r="H40" i="4" s="1"/>
  <c r="M30" i="4"/>
  <c r="M29" i="4"/>
  <c r="M69" i="4" s="1"/>
  <c r="D27" i="4"/>
  <c r="J26" i="4"/>
  <c r="J24" i="4"/>
  <c r="J27" i="4"/>
  <c r="G59" i="4"/>
  <c r="D26" i="4"/>
  <c r="J25" i="4"/>
  <c r="M17" i="4"/>
  <c r="M57" i="4" s="1"/>
  <c r="J17" i="4"/>
  <c r="L38" i="3"/>
  <c r="N38" i="3" s="1"/>
  <c r="M38" i="3"/>
  <c r="O38" i="3" s="1"/>
  <c r="H38" i="3"/>
  <c r="N37" i="3"/>
  <c r="O37" i="3"/>
  <c r="L37" i="3"/>
  <c r="M37" i="3"/>
  <c r="E37" i="3"/>
  <c r="D37" i="3"/>
  <c r="N19" i="3"/>
  <c r="O19" i="3"/>
  <c r="F22" i="2"/>
  <c r="G15" i="2"/>
  <c r="G25" i="2" s="1"/>
  <c r="H80" i="4" l="1"/>
  <c r="M80" i="4" s="1"/>
  <c r="M81" i="4" s="1"/>
  <c r="M40" i="4"/>
  <c r="H41" i="4"/>
  <c r="Q38" i="3"/>
  <c r="M58" i="4" s="1"/>
  <c r="P19" i="3"/>
  <c r="H18" i="4" s="1"/>
  <c r="L19" i="4"/>
  <c r="L18" i="4"/>
  <c r="C52" i="4"/>
  <c r="C92" i="4" s="1"/>
  <c r="G28" i="2"/>
  <c r="J50" i="4"/>
  <c r="H15" i="2"/>
  <c r="H25" i="2" s="1"/>
  <c r="Q19" i="3"/>
  <c r="H58" i="4" s="1"/>
  <c r="G22" i="2"/>
  <c r="J57" i="4"/>
  <c r="P38" i="3"/>
  <c r="M18" i="4" s="1"/>
  <c r="G58" i="4"/>
  <c r="L58" i="4"/>
  <c r="M70" i="4"/>
  <c r="D25" i="4"/>
  <c r="C51" i="4"/>
  <c r="C91" i="4" s="1"/>
  <c r="L59" i="4"/>
  <c r="J90" i="4"/>
  <c r="D66" i="4"/>
  <c r="H81" i="4" l="1"/>
  <c r="M41" i="4"/>
  <c r="J65" i="4"/>
  <c r="J67" i="4"/>
  <c r="D67" i="4"/>
  <c r="D65" i="4"/>
  <c r="J66" i="4"/>
  <c r="H28" i="2"/>
  <c r="H22" i="2"/>
  <c r="I15" i="2"/>
  <c r="I25" i="2" s="1"/>
  <c r="I22" i="2" l="1"/>
  <c r="J15" i="2"/>
  <c r="J25" i="2" s="1"/>
  <c r="I28" i="2"/>
  <c r="J22" i="2" l="1"/>
  <c r="K15" i="2"/>
  <c r="K25" i="2" s="1"/>
  <c r="J28" i="2"/>
  <c r="K22" i="2" l="1"/>
  <c r="L15" i="2"/>
  <c r="L25" i="2" s="1"/>
  <c r="K28" i="2"/>
  <c r="M15" i="2" l="1"/>
  <c r="M25" i="2" s="1"/>
  <c r="L28" i="2"/>
  <c r="L22" i="2"/>
  <c r="M28" i="2" l="1"/>
  <c r="N15" i="2"/>
  <c r="N25" i="2" s="1"/>
  <c r="M22" i="2"/>
  <c r="N28" i="2" l="1"/>
  <c r="N22" i="2"/>
  <c r="O15" i="2"/>
  <c r="O25" i="2" s="1"/>
  <c r="O28" i="2" l="1"/>
  <c r="O22" i="2"/>
  <c r="P15" i="2"/>
  <c r="P25" i="2" s="1"/>
  <c r="P28" i="2" l="1"/>
  <c r="P22" i="2"/>
  <c r="Q15" i="2"/>
  <c r="Q25" i="2" s="1"/>
  <c r="Q28" i="2" l="1"/>
  <c r="R15" i="2"/>
  <c r="R25" i="2" s="1"/>
  <c r="Q22" i="2"/>
  <c r="O37" i="2" l="1"/>
  <c r="O36" i="2"/>
  <c r="R22" i="2"/>
  <c r="S15" i="2"/>
  <c r="S25" i="2" s="1"/>
  <c r="O34" i="2"/>
  <c r="O33" i="2"/>
  <c r="E36" i="13" l="1"/>
  <c r="D35" i="13"/>
  <c r="D45" i="13"/>
  <c r="O35" i="2"/>
  <c r="F29" i="2"/>
  <c r="R28" i="2"/>
  <c r="G29" i="2"/>
  <c r="H29" i="2"/>
  <c r="I29" i="2"/>
  <c r="J29" i="2"/>
  <c r="K29" i="2"/>
  <c r="L29" i="2"/>
  <c r="M29" i="2"/>
  <c r="N29" i="2"/>
  <c r="O29" i="2"/>
  <c r="P29" i="2"/>
  <c r="S22" i="2"/>
  <c r="S28" i="2"/>
  <c r="R29" i="2"/>
  <c r="Q29" i="2"/>
  <c r="D44" i="13" l="1"/>
  <c r="E45" i="13"/>
  <c r="F45" i="13" s="1"/>
  <c r="G45" i="13" s="1"/>
  <c r="H45" i="13" s="1"/>
  <c r="I45" i="13" s="1"/>
  <c r="E18" i="13"/>
  <c r="F36" i="13"/>
  <c r="E35" i="13"/>
  <c r="J35" i="2"/>
  <c r="R35" i="2" s="1"/>
  <c r="H33" i="4" s="1"/>
  <c r="L35" i="2"/>
  <c r="S35" i="2" s="1"/>
  <c r="H73" i="4" s="1"/>
  <c r="J34" i="2"/>
  <c r="R34" i="2" s="1"/>
  <c r="H32" i="4" s="1"/>
  <c r="L34" i="2"/>
  <c r="S34" i="2" s="1"/>
  <c r="H72" i="4" s="1"/>
  <c r="J36" i="2"/>
  <c r="R36" i="2" s="1"/>
  <c r="H35" i="4" s="1"/>
  <c r="L36" i="2"/>
  <c r="S36" i="2" s="1"/>
  <c r="H75" i="4" s="1"/>
  <c r="J33" i="2"/>
  <c r="R33" i="2" s="1"/>
  <c r="H31" i="4" s="1"/>
  <c r="L33" i="2"/>
  <c r="S33" i="2" s="1"/>
  <c r="H71" i="4" s="1"/>
  <c r="S29" i="2"/>
  <c r="J37" i="2" s="1"/>
  <c r="G36" i="13" l="1"/>
  <c r="F35" i="13"/>
  <c r="E19" i="13"/>
  <c r="E44" i="13"/>
  <c r="F44" i="13" s="1"/>
  <c r="G44" i="13" s="1"/>
  <c r="H44" i="13" s="1"/>
  <c r="I44" i="13" s="1"/>
  <c r="J51" i="4"/>
  <c r="D51" i="4"/>
  <c r="O38" i="2"/>
  <c r="M31" i="4"/>
  <c r="H34" i="4"/>
  <c r="M35" i="4"/>
  <c r="H43" i="4"/>
  <c r="M73" i="4"/>
  <c r="M75" i="4"/>
  <c r="H83" i="4"/>
  <c r="M32" i="4"/>
  <c r="L37" i="2"/>
  <c r="M33" i="4"/>
  <c r="M72" i="4"/>
  <c r="M71" i="4"/>
  <c r="H74" i="4"/>
  <c r="H36" i="13" l="1"/>
  <c r="G35" i="13"/>
  <c r="H82" i="4"/>
  <c r="H85" i="4" s="1"/>
  <c r="H89" i="4" s="1"/>
  <c r="H42" i="4"/>
  <c r="H45" i="4" s="1"/>
  <c r="H49" i="4" s="1"/>
  <c r="J91" i="4"/>
  <c r="D91" i="4"/>
  <c r="M74" i="4"/>
  <c r="M34" i="4"/>
  <c r="M43" i="4"/>
  <c r="M83" i="4"/>
  <c r="I36" i="13" l="1"/>
  <c r="H35" i="13"/>
  <c r="O39" i="2"/>
  <c r="O40" i="2" s="1"/>
  <c r="H51" i="4"/>
  <c r="M82" i="4"/>
  <c r="M85" i="4" s="1"/>
  <c r="M89" i="4" s="1"/>
  <c r="H91" i="4"/>
  <c r="M42" i="4"/>
  <c r="M45" i="4" s="1"/>
  <c r="M49" i="4" s="1"/>
  <c r="I35" i="13" l="1"/>
  <c r="M91" i="4"/>
  <c r="M51" i="4"/>
  <c r="M39" i="3" l="1"/>
  <c r="O39" i="3" s="1"/>
  <c r="Q39" i="3" s="1"/>
  <c r="M59" i="4" s="1"/>
  <c r="J92" i="4" s="1"/>
  <c r="M92" i="4" s="1"/>
  <c r="G38" i="13" s="1"/>
  <c r="G47" i="13" s="1"/>
  <c r="O20" i="3"/>
  <c r="Q20" i="3" s="1"/>
  <c r="H59" i="4" s="1"/>
  <c r="D92" i="4" s="1"/>
  <c r="H92" i="4" s="1"/>
  <c r="F38" i="13" s="1"/>
  <c r="N20" i="3"/>
  <c r="P20" i="3" s="1"/>
  <c r="H19" i="4" s="1"/>
  <c r="D52" i="4" s="1"/>
  <c r="H52" i="4" s="1"/>
  <c r="D38" i="13" s="1"/>
  <c r="L39" i="3"/>
  <c r="N39" i="3" s="1"/>
  <c r="P39" i="3" s="1"/>
  <c r="M19" i="4" s="1"/>
  <c r="J52" i="4" s="1"/>
  <c r="M52" i="4" s="1"/>
  <c r="E38" i="13" s="1"/>
  <c r="E47" i="13" s="1"/>
  <c r="D46" i="13" l="1"/>
  <c r="I38" i="13"/>
  <c r="F47" i="13"/>
  <c r="D47" i="13"/>
  <c r="H47" i="13" s="1"/>
  <c r="H38" i="13"/>
  <c r="F46" i="13"/>
  <c r="G46" i="13"/>
  <c r="G48" i="13" s="1"/>
  <c r="E46" i="13"/>
  <c r="E48" i="13" s="1"/>
  <c r="I37" i="13" l="1"/>
  <c r="D16" i="13" s="1"/>
  <c r="I47" i="13"/>
  <c r="F48" i="13"/>
  <c r="H37" i="13"/>
  <c r="D15" i="13" s="1"/>
  <c r="I46" i="13"/>
  <c r="D48" i="13"/>
  <c r="H46" i="13"/>
  <c r="H48" i="13" s="1"/>
  <c r="E15" i="13" s="1"/>
  <c r="I48" i="13" l="1"/>
  <c r="E16" i="13" s="1"/>
</calcChain>
</file>

<file path=xl/sharedStrings.xml><?xml version="1.0" encoding="utf-8"?>
<sst xmlns="http://schemas.openxmlformats.org/spreadsheetml/2006/main" count="321" uniqueCount="173">
  <si>
    <t>JEN 2018 network services opex</t>
  </si>
  <si>
    <t>JEN 2018 network services opex (with $4M p.a. reduction)</t>
  </si>
  <si>
    <t>Average</t>
  </si>
  <si>
    <t>LSE CD</t>
  </si>
  <si>
    <t>SFA CD</t>
  </si>
  <si>
    <t>2012-2019</t>
  </si>
  <si>
    <t>2006-2019</t>
  </si>
  <si>
    <t>Key:</t>
  </si>
  <si>
    <t>Input (hard code)</t>
  </si>
  <si>
    <t>External Link</t>
  </si>
  <si>
    <t>Internal Link</t>
  </si>
  <si>
    <t>Drop down Selection</t>
  </si>
  <si>
    <t>Calculation</t>
  </si>
  <si>
    <t>Unique calculation</t>
  </si>
  <si>
    <t>Empty cell</t>
  </si>
  <si>
    <t>Copyright Jemena Limited. All rights reserved. Jemena is not liable for any loss caused by reliance on this document.</t>
  </si>
  <si>
    <t>Inflation conversion ($2018 to $2021)</t>
  </si>
  <si>
    <t>Opex Cost Drivers – JEN</t>
  </si>
  <si>
    <t>08JEN</t>
  </si>
  <si>
    <t>TFP Data and Forecasts</t>
  </si>
  <si>
    <t>Unit</t>
  </si>
  <si>
    <t>CY6</t>
  </si>
  <si>
    <t>CY7</t>
  </si>
  <si>
    <t>CY8</t>
  </si>
  <si>
    <t>CY9</t>
  </si>
  <si>
    <t>CY10</t>
  </si>
  <si>
    <t>CY11</t>
  </si>
  <si>
    <t>CY12</t>
  </si>
  <si>
    <t>CY13</t>
  </si>
  <si>
    <t>CY14</t>
  </si>
  <si>
    <t>CY15</t>
  </si>
  <si>
    <t>CY16</t>
  </si>
  <si>
    <t>CY17</t>
  </si>
  <si>
    <t>CY18</t>
  </si>
  <si>
    <t>CY19</t>
  </si>
  <si>
    <t>Customer numbers</t>
  </si>
  <si>
    <t>number</t>
  </si>
  <si>
    <t>Circuit Length</t>
  </si>
  <si>
    <t>kms</t>
  </si>
  <si>
    <t>Maximum Demand</t>
  </si>
  <si>
    <t>MW</t>
  </si>
  <si>
    <t>Ratcheted Maximum Demand (50% POE forecast (DOPSD0109))</t>
  </si>
  <si>
    <t>Underground Circuit Length</t>
  </si>
  <si>
    <t>Share Underground</t>
  </si>
  <si>
    <t>Fraction</t>
  </si>
  <si>
    <t>$'000</t>
  </si>
  <si>
    <t>Opex price deflator</t>
  </si>
  <si>
    <t>CY2006 =1</t>
  </si>
  <si>
    <t xml:space="preserve"> - Opex price escalation (nominal)</t>
  </si>
  <si>
    <t>%</t>
  </si>
  <si>
    <t xml:space="preserve"> - Opex quantity</t>
  </si>
  <si>
    <t>$'000CY2018</t>
  </si>
  <si>
    <t>Rates of Change</t>
  </si>
  <si>
    <t>Average 2006-2019</t>
  </si>
  <si>
    <t>Average 2012-2019</t>
  </si>
  <si>
    <t>Base year CY2018</t>
  </si>
  <si>
    <t>Avr 2006-19 to 2018</t>
  </si>
  <si>
    <t>Avr 2012-19 to 2018</t>
  </si>
  <si>
    <t>Ratcheted Maximum Demand</t>
  </si>
  <si>
    <t>Opex quantity</t>
  </si>
  <si>
    <t xml:space="preserve">  Actual opex Increase: average to base</t>
  </si>
  <si>
    <t xml:space="preserve">  Forecast opex increase: average to base</t>
  </si>
  <si>
    <t xml:space="preserve">  Difference</t>
  </si>
  <si>
    <t>Efficiency Target Option</t>
  </si>
  <si>
    <t>CD SFA</t>
  </si>
  <si>
    <t>Efficiency target to set</t>
  </si>
  <si>
    <t>Margin allowance</t>
  </si>
  <si>
    <t>Efficiency target</t>
  </si>
  <si>
    <t>DNSP</t>
  </si>
  <si>
    <t>Score - Long Sample</t>
  </si>
  <si>
    <t>Score - Short Sample</t>
  </si>
  <si>
    <t>OEF short</t>
  </si>
  <si>
    <t>OEF long</t>
  </si>
  <si>
    <t>Target short</t>
  </si>
  <si>
    <t>Target long</t>
  </si>
  <si>
    <t>Long sample</t>
  </si>
  <si>
    <t>Short sample</t>
  </si>
  <si>
    <t>PCR</t>
  </si>
  <si>
    <t>Target</t>
  </si>
  <si>
    <t>JEN</t>
  </si>
  <si>
    <t>No OEF</t>
  </si>
  <si>
    <t>CIT</t>
  </si>
  <si>
    <t>UED</t>
  </si>
  <si>
    <t>TND</t>
  </si>
  <si>
    <t>SAP</t>
  </si>
  <si>
    <t>SPD</t>
  </si>
  <si>
    <t>ESS</t>
  </si>
  <si>
    <t>ENX</t>
  </si>
  <si>
    <t>END</t>
  </si>
  <si>
    <t>ERG</t>
  </si>
  <si>
    <t>ACT</t>
  </si>
  <si>
    <t>AGD</t>
  </si>
  <si>
    <t>CD LSE</t>
  </si>
  <si>
    <t>JEN Opex – Base Opex – Using RIN Data and Estimated Opex Cost Functions</t>
  </si>
  <si>
    <t>Long Sample</t>
  </si>
  <si>
    <t>Model's estimated cost elasticities</t>
  </si>
  <si>
    <t>Coefficients</t>
  </si>
  <si>
    <t>Target opex reduction after ex post OEF adjustment</t>
  </si>
  <si>
    <t>Standard</t>
  </si>
  <si>
    <t>ln_cust_n</t>
  </si>
  <si>
    <t>ln_circuit_length</t>
  </si>
  <si>
    <t>ln_ratch_max_dem</t>
  </si>
  <si>
    <t>ln_ug_share</t>
  </si>
  <si>
    <t>time_trend</t>
  </si>
  <si>
    <t>Output Weights</t>
  </si>
  <si>
    <t>Customer Numbers</t>
  </si>
  <si>
    <t xml:space="preserve">DNSP's forecast driver growth rates </t>
  </si>
  <si>
    <t>Rate of change from Midpoint to End year</t>
  </si>
  <si>
    <t>Weighted Average Output Growth (1)</t>
  </si>
  <si>
    <t>PP Opex Growth Rates Forecast</t>
  </si>
  <si>
    <t>Start year</t>
  </si>
  <si>
    <t>End year</t>
  </si>
  <si>
    <t>Midpoint</t>
  </si>
  <si>
    <t>Time from midpoint (years)</t>
  </si>
  <si>
    <t>Technology (A)</t>
  </si>
  <si>
    <t>Returns to Scale (B)</t>
  </si>
  <si>
    <t>Business Conditions (C)</t>
  </si>
  <si>
    <t>PP Opex Growth Rates [2 = A+B-C]</t>
  </si>
  <si>
    <t>Real input cost escalation (3)</t>
  </si>
  <si>
    <t>Opex rate of change [=(1 &amp; 3) / 2]</t>
  </si>
  <si>
    <t>Average*ROC</t>
  </si>
  <si>
    <t>Short Sample</t>
  </si>
  <si>
    <t>End</t>
  </si>
  <si>
    <t>Input | JEN opex cost drivers</t>
  </si>
  <si>
    <t>Source 1: AER - Draft decision - Jemena distribution determination - 2021–26 - Opex benchmarking RFM model - long - September 2020.xlsx</t>
  </si>
  <si>
    <t>Input | Efficiency scores and targets</t>
  </si>
  <si>
    <t>Source 3: Economic Insights AER DNSP BM Files 8Oct2020.zip</t>
  </si>
  <si>
    <t>Source 2: AER - Draft decision - Jemena distribution determination - 2021–26 - Opex benchmarking RFM model - short - September 2020.xlsx</t>
  </si>
  <si>
    <t>Input | Roll-forward of benchmark opex</t>
  </si>
  <si>
    <t>Efficiency scores</t>
  </si>
  <si>
    <t>Scenarios (%)</t>
  </si>
  <si>
    <t>2014 CAM</t>
  </si>
  <si>
    <t>Economic Insights</t>
  </si>
  <si>
    <t>(2014 CAMs)</t>
  </si>
  <si>
    <t>Average Cobb-Douglas models – 2006-2019</t>
  </si>
  <si>
    <t>Average Cobb-Douglas models – 2012-2019</t>
  </si>
  <si>
    <t>Base year opex</t>
  </si>
  <si>
    <t>Base year opex with $4M reduction</t>
  </si>
  <si>
    <t>Veg man OEF</t>
  </si>
  <si>
    <t>Inputs|Cost Drivers</t>
  </si>
  <si>
    <t>Inputs|Eff Target</t>
  </si>
  <si>
    <t>Inputs|Opex Forecasts</t>
  </si>
  <si>
    <t>Output|Benchmarking Results</t>
  </si>
  <si>
    <t>JEN - Benchmarking analysis on common capitalisation</t>
  </si>
  <si>
    <t>Source 1: Economic Insights - DNSPData AusNZOnt 8Oct2020x BM.xls</t>
  </si>
  <si>
    <t>EIID</t>
  </si>
  <si>
    <t>Year</t>
  </si>
  <si>
    <t>Country</t>
  </si>
  <si>
    <t>Benchmark comparator weighted average opex to totex ratio</t>
  </si>
  <si>
    <t>Opex (2014 CAM)
(Economic Insights)</t>
  </si>
  <si>
    <t>Normalised opex</t>
  </si>
  <si>
    <t>Source 1: Economic Insights AER DNSP BM Files 8Oct2020.zip</t>
  </si>
  <si>
    <t>Calc | Benchmark efficiency</t>
  </si>
  <si>
    <t>Efficient Opex</t>
  </si>
  <si>
    <t>Improvement in efficiency score</t>
  </si>
  <si>
    <t>Improvement in efficient opex</t>
  </si>
  <si>
    <t>Efficient opex - 2014 CAM</t>
  </si>
  <si>
    <t>Common Capitalisation</t>
  </si>
  <si>
    <t>Input|Opex</t>
  </si>
  <si>
    <t>Output | Benchmark results under a common capitalisation approach</t>
  </si>
  <si>
    <t>Scenarios</t>
  </si>
  <si>
    <t>$2018, millions</t>
  </si>
  <si>
    <t>$2021, millions</t>
  </si>
  <si>
    <t>Efficient rolled forward opex ($2021, millions)</t>
  </si>
  <si>
    <t>JEN actual base year network services opex ($2021, millions)</t>
  </si>
  <si>
    <t>Common capitalisation scenario</t>
  </si>
  <si>
    <t>Efficient opex - Common capitalisation scenario</t>
  </si>
  <si>
    <t>Normalised opex on common capitalisation scenario</t>
  </si>
  <si>
    <t>Normalised opex (common capitalisation) applied to econometric models</t>
  </si>
  <si>
    <t>Source 2: JEN analysis on common capitalisation scenario (using STATA)</t>
  </si>
  <si>
    <t>Implied opex reduction to reach efficiency target</t>
  </si>
  <si>
    <t>Source 2: JEN - Opex ratios based on 2019 benchmarking dataset.xlsx (Included in this folder)</t>
  </si>
  <si>
    <t>Network services totex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</si>
</sst>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\-yy;@"/>
    <numFmt numFmtId="165" formatCode="_-* #,##0_-;\-* #,##0_-;_-* &quot;-&quot;??_-;_-@_-"/>
    <numFmt numFmtId="166" formatCode="0.0000"/>
    <numFmt numFmtId="167" formatCode="_(#,##0_);\(#,##0\);_(&quot;-&quot;_)"/>
    <numFmt numFmtId="168" formatCode="_(#,##0.0000_);\(#,##0.0000\);_(&quot;-&quot;_)"/>
    <numFmt numFmtId="169" formatCode="#,##0.0000"/>
    <numFmt numFmtId="170" formatCode="_-&quot;$&quot;* #,##0_-;\-&quot;$&quot;* #,##0_-;_-&quot;$&quot;* &quot;-&quot;??_-;_-@_-"/>
    <numFmt numFmtId="171" formatCode="0.000"/>
    <numFmt numFmtId="172" formatCode="0.0%"/>
    <numFmt numFmtId="173" formatCode="_-* #,##0.0000000_-;\-* #,##0.0000000_-;_-* &quot;-&quot;??_-;_-@_-"/>
  </numFmts>
  <fonts count="33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b/>
      <sz val="11"/>
      <name val="Arial"/>
      <family val="2"/>
      <scheme val="minor"/>
    </font>
    <font>
      <sz val="8"/>
      <color theme="1"/>
      <name val="Arial"/>
      <family val="2"/>
    </font>
    <font>
      <sz val="8"/>
      <color indexed="9"/>
      <name val="Arial"/>
      <family val="2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</font>
    <font>
      <sz val="11"/>
      <color theme="0" tint="-0.499984740745262"/>
      <name val="Calibri"/>
      <family val="2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11"/>
      <name val="Calibri"/>
      <family val="2"/>
    </font>
    <font>
      <sz val="10"/>
      <name val="Arial"/>
      <family val="2"/>
      <scheme val="major"/>
    </font>
    <font>
      <sz val="10"/>
      <color theme="0" tint="-0.499984740745262"/>
      <name val="Arial"/>
      <family val="2"/>
      <scheme val="major"/>
    </font>
    <font>
      <sz val="9"/>
      <name val="Arial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4F4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theme="0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</borders>
  <cellStyleXfs count="13">
    <xf numFmtId="0" fontId="0" fillId="0" borderId="0"/>
    <xf numFmtId="164" fontId="5" fillId="0" borderId="0"/>
    <xf numFmtId="164" fontId="1" fillId="0" borderId="0"/>
    <xf numFmtId="164" fontId="5" fillId="0" borderId="0"/>
    <xf numFmtId="167" fontId="9" fillId="0" borderId="7">
      <alignment horizontal="right" vertical="center"/>
      <protection locked="0"/>
    </xf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64" fontId="8" fillId="4" borderId="2" xfId="1" applyFont="1" applyFill="1" applyBorder="1" applyAlignment="1">
      <alignment horizontal="center" vertical="center"/>
    </xf>
    <xf numFmtId="164" fontId="8" fillId="5" borderId="2" xfId="1" applyFont="1" applyFill="1" applyBorder="1" applyAlignment="1">
      <alignment horizontal="center" vertical="center"/>
    </xf>
    <xf numFmtId="164" fontId="8" fillId="6" borderId="2" xfId="1" applyFont="1" applyFill="1" applyBorder="1" applyAlignment="1">
      <alignment horizontal="center" vertical="center"/>
    </xf>
    <xf numFmtId="164" fontId="9" fillId="7" borderId="3" xfId="1" applyFont="1" applyFill="1" applyBorder="1" applyAlignment="1">
      <alignment horizontal="center" vertical="center"/>
    </xf>
    <xf numFmtId="164" fontId="9" fillId="8" borderId="3" xfId="2" applyFont="1" applyFill="1" applyBorder="1" applyAlignment="1">
      <alignment horizontal="center" vertical="center"/>
    </xf>
    <xf numFmtId="164" fontId="9" fillId="8" borderId="1" xfId="2" applyFont="1" applyFill="1" applyBorder="1" applyAlignment="1">
      <alignment horizontal="center" vertical="center"/>
    </xf>
    <xf numFmtId="165" fontId="8" fillId="9" borderId="4" xfId="1" applyNumberFormat="1" applyFont="1" applyFill="1" applyBorder="1" applyAlignment="1">
      <alignment horizontal="center" vertical="center"/>
    </xf>
    <xf numFmtId="165" fontId="8" fillId="10" borderId="0" xfId="1" applyNumberFormat="1" applyFont="1" applyFill="1"/>
    <xf numFmtId="165" fontId="8" fillId="10" borderId="0" xfId="1" applyNumberFormat="1" applyFont="1" applyFill="1" applyAlignment="1">
      <alignment vertical="center"/>
    </xf>
    <xf numFmtId="164" fontId="6" fillId="3" borderId="0" xfId="1" applyFont="1" applyFill="1"/>
    <xf numFmtId="164" fontId="6" fillId="3" borderId="0" xfId="1" applyFont="1" applyFill="1" applyAlignment="1">
      <alignment vertical="center"/>
    </xf>
    <xf numFmtId="164" fontId="7" fillId="3" borderId="0" xfId="1" applyFont="1" applyFill="1" applyAlignment="1">
      <alignment horizontal="left" vertical="center" indent="6"/>
    </xf>
    <xf numFmtId="164" fontId="6" fillId="3" borderId="5" xfId="1" applyFont="1" applyFill="1" applyBorder="1"/>
    <xf numFmtId="164" fontId="6" fillId="3" borderId="5" xfId="1" applyFont="1" applyFill="1" applyBorder="1" applyAlignment="1">
      <alignment vertical="center"/>
    </xf>
    <xf numFmtId="164" fontId="10" fillId="3" borderId="5" xfId="1" applyFont="1" applyFill="1" applyBorder="1" applyAlignment="1">
      <alignment horizontal="left" indent="6"/>
    </xf>
    <xf numFmtId="164" fontId="10" fillId="3" borderId="6" xfId="1" applyFont="1" applyFill="1" applyBorder="1"/>
    <xf numFmtId="164" fontId="6" fillId="3" borderId="6" xfId="1" applyFont="1" applyFill="1" applyBorder="1"/>
    <xf numFmtId="165" fontId="6" fillId="3" borderId="0" xfId="1" applyNumberFormat="1" applyFont="1" applyFill="1"/>
    <xf numFmtId="165" fontId="6" fillId="3" borderId="0" xfId="1" applyNumberFormat="1" applyFont="1" applyFill="1" applyAlignment="1">
      <alignment vertical="center"/>
    </xf>
    <xf numFmtId="165" fontId="11" fillId="3" borderId="0" xfId="1" applyNumberFormat="1" applyFont="1" applyFill="1"/>
    <xf numFmtId="165" fontId="6" fillId="3" borderId="0" xfId="0" applyNumberFormat="1" applyFont="1" applyFill="1"/>
    <xf numFmtId="165" fontId="12" fillId="3" borderId="0" xfId="0" applyNumberFormat="1" applyFont="1" applyFill="1"/>
    <xf numFmtId="165" fontId="11" fillId="3" borderId="0" xfId="0" applyNumberFormat="1" applyFont="1" applyFill="1"/>
    <xf numFmtId="164" fontId="6" fillId="3" borderId="0" xfId="1" applyFont="1" applyFill="1" applyAlignment="1">
      <alignment horizontal="right" vertical="center"/>
    </xf>
    <xf numFmtId="0" fontId="2" fillId="0" borderId="0" xfId="0" applyFont="1" applyFill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165" fontId="17" fillId="0" borderId="0" xfId="0" applyNumberFormat="1" applyFont="1" applyAlignment="1">
      <alignment horizontal="left" vertical="center"/>
    </xf>
    <xf numFmtId="3" fontId="14" fillId="2" borderId="0" xfId="4" applyNumberFormat="1" applyFont="1" applyFill="1" applyBorder="1" applyAlignment="1" applyProtection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10" fontId="14" fillId="11" borderId="0" xfId="5" applyNumberFormat="1" applyFont="1" applyFill="1" applyBorder="1"/>
    <xf numFmtId="10" fontId="14" fillId="0" borderId="0" xfId="0" applyNumberFormat="1" applyFont="1"/>
    <xf numFmtId="170" fontId="14" fillId="0" borderId="0" xfId="7" applyNumberFormat="1" applyFont="1"/>
    <xf numFmtId="170" fontId="14" fillId="0" borderId="0" xfId="7" applyNumberFormat="1" applyFont="1" applyFill="1"/>
    <xf numFmtId="170" fontId="14" fillId="0" borderId="0" xfId="7" applyNumberFormat="1" applyFont="1" applyBorder="1"/>
    <xf numFmtId="3" fontId="14" fillId="0" borderId="0" xfId="0" applyNumberFormat="1" applyFont="1"/>
    <xf numFmtId="3" fontId="0" fillId="0" borderId="0" xfId="0" applyNumberFormat="1"/>
    <xf numFmtId="0" fontId="15" fillId="0" borderId="0" xfId="8" applyFont="1"/>
    <xf numFmtId="0" fontId="17" fillId="0" borderId="0" xfId="8" applyFont="1"/>
    <xf numFmtId="0" fontId="20" fillId="0" borderId="0" xfId="8" applyFont="1"/>
    <xf numFmtId="0" fontId="1" fillId="0" borderId="0" xfId="8"/>
    <xf numFmtId="0" fontId="21" fillId="12" borderId="0" xfId="0" applyFont="1" applyFill="1"/>
    <xf numFmtId="0" fontId="14" fillId="12" borderId="0" xfId="0" applyFont="1" applyFill="1"/>
    <xf numFmtId="10" fontId="14" fillId="0" borderId="0" xfId="5" applyNumberFormat="1" applyFont="1" applyFill="1"/>
    <xf numFmtId="10" fontId="13" fillId="0" borderId="0" xfId="0" applyNumberFormat="1" applyFont="1"/>
    <xf numFmtId="3" fontId="15" fillId="0" borderId="0" xfId="0" applyNumberFormat="1" applyFont="1"/>
    <xf numFmtId="0" fontId="22" fillId="16" borderId="0" xfId="0" applyFont="1" applyFill="1"/>
    <xf numFmtId="0" fontId="0" fillId="16" borderId="0" xfId="0" applyFill="1"/>
    <xf numFmtId="0" fontId="25" fillId="16" borderId="0" xfId="0" applyFont="1" applyFill="1"/>
    <xf numFmtId="0" fontId="26" fillId="0" borderId="0" xfId="0" applyFont="1"/>
    <xf numFmtId="0" fontId="15" fillId="0" borderId="9" xfId="8" applyFont="1" applyBorder="1"/>
    <xf numFmtId="0" fontId="17" fillId="0" borderId="9" xfId="8" applyFont="1" applyBorder="1"/>
    <xf numFmtId="0" fontId="20" fillId="0" borderId="9" xfId="8" applyFont="1" applyBorder="1"/>
    <xf numFmtId="0" fontId="1" fillId="0" borderId="9" xfId="8" applyBorder="1"/>
    <xf numFmtId="0" fontId="21" fillId="0" borderId="9" xfId="8" applyFont="1" applyBorder="1"/>
    <xf numFmtId="0" fontId="0" fillId="0" borderId="9" xfId="0" applyBorder="1"/>
    <xf numFmtId="0" fontId="15" fillId="0" borderId="9" xfId="8" applyFont="1" applyBorder="1" applyAlignment="1">
      <alignment horizontal="left" vertical="top" wrapText="1"/>
    </xf>
    <xf numFmtId="0" fontId="21" fillId="0" borderId="9" xfId="8" applyFont="1" applyBorder="1" applyAlignment="1">
      <alignment horizontal="left" vertical="top"/>
    </xf>
    <xf numFmtId="0" fontId="17" fillId="0" borderId="9" xfId="8" applyFont="1" applyBorder="1" applyAlignment="1">
      <alignment horizontal="left" vertical="top" wrapText="1"/>
    </xf>
    <xf numFmtId="0" fontId="16" fillId="0" borderId="9" xfId="8" applyFont="1" applyBorder="1" applyAlignment="1">
      <alignment horizontal="left" vertical="top" wrapText="1"/>
    </xf>
    <xf numFmtId="0" fontId="1" fillId="0" borderId="9" xfId="8" applyBorder="1" applyAlignment="1">
      <alignment horizontal="left" vertical="top" wrapText="1"/>
    </xf>
    <xf numFmtId="0" fontId="16" fillId="0" borderId="9" xfId="8" applyFont="1" applyBorder="1" applyAlignment="1">
      <alignment horizontal="centerContinuous" vertical="center" wrapText="1"/>
    </xf>
    <xf numFmtId="0" fontId="18" fillId="0" borderId="9" xfId="8" applyFont="1" applyBorder="1" applyAlignment="1">
      <alignment horizontal="left" vertical="top" wrapText="1"/>
    </xf>
    <xf numFmtId="0" fontId="18" fillId="0" borderId="9" xfId="8" applyFont="1" applyBorder="1" applyAlignment="1">
      <alignment horizontal="left" vertical="top"/>
    </xf>
    <xf numFmtId="171" fontId="17" fillId="5" borderId="9" xfId="8" applyNumberFormat="1" applyFont="1" applyFill="1" applyBorder="1"/>
    <xf numFmtId="0" fontId="15" fillId="0" borderId="9" xfId="8" applyFont="1" applyBorder="1" applyAlignment="1">
      <alignment wrapText="1"/>
    </xf>
    <xf numFmtId="43" fontId="15" fillId="11" borderId="9" xfId="6" applyFont="1" applyFill="1" applyBorder="1" applyAlignment="1">
      <alignment horizontal="center" wrapText="1"/>
    </xf>
    <xf numFmtId="172" fontId="15" fillId="5" borderId="9" xfId="5" applyNumberFormat="1" applyFont="1" applyFill="1" applyBorder="1" applyAlignment="1">
      <alignment horizontal="center"/>
    </xf>
    <xf numFmtId="9" fontId="15" fillId="11" borderId="9" xfId="5" applyFont="1" applyFill="1" applyBorder="1" applyAlignment="1">
      <alignment horizontal="center"/>
    </xf>
    <xf numFmtId="10" fontId="17" fillId="0" borderId="9" xfId="5" applyNumberFormat="1" applyFont="1" applyBorder="1"/>
    <xf numFmtId="0" fontId="13" fillId="0" borderId="9" xfId="0" applyFont="1" applyBorder="1"/>
    <xf numFmtId="0" fontId="14" fillId="0" borderId="9" xfId="0" applyFont="1" applyBorder="1"/>
    <xf numFmtId="0" fontId="13" fillId="0" borderId="9" xfId="0" applyFont="1" applyBorder="1" applyAlignment="1">
      <alignment horizontal="center"/>
    </xf>
    <xf numFmtId="165" fontId="15" fillId="0" borderId="9" xfId="0" applyNumberFormat="1" applyFont="1" applyBorder="1"/>
    <xf numFmtId="165" fontId="16" fillId="0" borderId="9" xfId="0" applyNumberFormat="1" applyFont="1" applyBorder="1" applyAlignment="1">
      <alignment horizontal="center"/>
    </xf>
    <xf numFmtId="165" fontId="15" fillId="0" borderId="9" xfId="0" applyNumberFormat="1" applyFont="1" applyBorder="1" applyAlignment="1">
      <alignment horizontal="center"/>
    </xf>
    <xf numFmtId="165" fontId="17" fillId="0" borderId="9" xfId="0" applyNumberFormat="1" applyFont="1" applyBorder="1" applyAlignment="1">
      <alignment horizontal="left" vertical="center"/>
    </xf>
    <xf numFmtId="165" fontId="18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65" fontId="0" fillId="0" borderId="9" xfId="6" applyNumberFormat="1" applyFont="1" applyBorder="1"/>
    <xf numFmtId="165" fontId="0" fillId="0" borderId="9" xfId="6" quotePrefix="1" applyNumberFormat="1" applyFont="1" applyBorder="1"/>
    <xf numFmtId="166" fontId="0" fillId="0" borderId="9" xfId="5" applyNumberFormat="1" applyFont="1" applyBorder="1"/>
    <xf numFmtId="10" fontId="14" fillId="11" borderId="9" xfId="0" applyNumberFormat="1" applyFont="1" applyFill="1" applyBorder="1"/>
    <xf numFmtId="3" fontId="13" fillId="11" borderId="9" xfId="0" applyNumberFormat="1" applyFont="1" applyFill="1" applyBorder="1"/>
    <xf numFmtId="165" fontId="18" fillId="0" borderId="9" xfId="0" applyNumberFormat="1" applyFont="1" applyBorder="1" applyAlignment="1">
      <alignment horizontal="left" vertical="center"/>
    </xf>
    <xf numFmtId="0" fontId="16" fillId="0" borderId="9" xfId="8" applyFont="1" applyBorder="1" applyAlignment="1">
      <alignment horizontal="left" vertical="center" wrapText="1"/>
    </xf>
    <xf numFmtId="0" fontId="27" fillId="12" borderId="0" xfId="0" applyFont="1" applyFill="1"/>
    <xf numFmtId="0" fontId="28" fillId="12" borderId="0" xfId="0" applyFont="1" applyFill="1"/>
    <xf numFmtId="0" fontId="27" fillId="0" borderId="0" xfId="0" applyFont="1" applyFill="1"/>
    <xf numFmtId="0" fontId="28" fillId="0" borderId="0" xfId="0" applyFont="1" applyFill="1"/>
    <xf numFmtId="166" fontId="14" fillId="5" borderId="9" xfId="0" applyNumberFormat="1" applyFont="1" applyFill="1" applyBorder="1"/>
    <xf numFmtId="172" fontId="14" fillId="5" borderId="9" xfId="0" applyNumberFormat="1" applyFont="1" applyFill="1" applyBorder="1"/>
    <xf numFmtId="166" fontId="14" fillId="0" borderId="9" xfId="0" applyNumberFormat="1" applyFont="1" applyBorder="1"/>
    <xf numFmtId="165" fontId="14" fillId="0" borderId="9" xfId="0" applyNumberFormat="1" applyFont="1" applyBorder="1"/>
    <xf numFmtId="166" fontId="14" fillId="11" borderId="9" xfId="0" applyNumberFormat="1" applyFont="1" applyFill="1" applyBorder="1"/>
    <xf numFmtId="0" fontId="13" fillId="0" borderId="9" xfId="0" applyFont="1" applyBorder="1" applyAlignment="1">
      <alignment horizontal="left"/>
    </xf>
    <xf numFmtId="0" fontId="13" fillId="0" borderId="9" xfId="0" applyFont="1" applyBorder="1" applyAlignment="1">
      <alignment horizontal="right"/>
    </xf>
    <xf numFmtId="0" fontId="13" fillId="2" borderId="9" xfId="0" applyFont="1" applyFill="1" applyBorder="1" applyAlignment="1">
      <alignment horizontal="right"/>
    </xf>
    <xf numFmtId="10" fontId="14" fillId="5" borderId="9" xfId="5" applyNumberFormat="1" applyFont="1" applyFill="1" applyBorder="1"/>
    <xf numFmtId="10" fontId="14" fillId="0" borderId="9" xfId="5" applyNumberFormat="1" applyFont="1" applyFill="1" applyBorder="1"/>
    <xf numFmtId="10" fontId="13" fillId="11" borderId="9" xfId="5" applyNumberFormat="1" applyFont="1" applyFill="1" applyBorder="1"/>
    <xf numFmtId="10" fontId="14" fillId="0" borderId="9" xfId="0" applyNumberFormat="1" applyFont="1" applyBorder="1"/>
    <xf numFmtId="10" fontId="13" fillId="0" borderId="9" xfId="0" applyNumberFormat="1" applyFont="1" applyBorder="1"/>
    <xf numFmtId="0" fontId="13" fillId="2" borderId="9" xfId="0" applyFont="1" applyFill="1" applyBorder="1"/>
    <xf numFmtId="0" fontId="14" fillId="13" borderId="9" xfId="0" applyFont="1" applyFill="1" applyBorder="1"/>
    <xf numFmtId="10" fontId="13" fillId="11" borderId="9" xfId="0" applyNumberFormat="1" applyFont="1" applyFill="1" applyBorder="1"/>
    <xf numFmtId="10" fontId="15" fillId="5" borderId="9" xfId="0" applyNumberFormat="1" applyFont="1" applyFill="1" applyBorder="1" applyAlignment="1">
      <alignment horizontal="right" vertical="center"/>
    </xf>
    <xf numFmtId="10" fontId="15" fillId="0" borderId="9" xfId="0" applyNumberFormat="1" applyFont="1" applyBorder="1" applyAlignment="1">
      <alignment horizontal="right" vertical="center"/>
    </xf>
    <xf numFmtId="10" fontId="13" fillId="0" borderId="9" xfId="5" applyNumberFormat="1" applyFont="1" applyFill="1" applyBorder="1"/>
    <xf numFmtId="10" fontId="13" fillId="11" borderId="9" xfId="5" applyNumberFormat="1" applyFont="1" applyFill="1" applyBorder="1" applyAlignment="1">
      <alignment horizontal="right"/>
    </xf>
    <xf numFmtId="3" fontId="14" fillId="0" borderId="9" xfId="0" applyNumberFormat="1" applyFont="1" applyBorder="1"/>
    <xf numFmtId="3" fontId="15" fillId="0" borderId="9" xfId="0" applyNumberFormat="1" applyFont="1" applyBorder="1"/>
    <xf numFmtId="3" fontId="15" fillId="11" borderId="9" xfId="9" applyNumberFormat="1" applyFont="1" applyFill="1" applyBorder="1"/>
    <xf numFmtId="0" fontId="14" fillId="0" borderId="11" xfId="0" applyFont="1" applyBorder="1"/>
    <xf numFmtId="10" fontId="14" fillId="0" borderId="11" xfId="0" applyNumberFormat="1" applyFont="1" applyBorder="1"/>
    <xf numFmtId="10" fontId="13" fillId="0" borderId="11" xfId="0" applyNumberFormat="1" applyFont="1" applyBorder="1"/>
    <xf numFmtId="0" fontId="15" fillId="0" borderId="10" xfId="8" applyFont="1" applyBorder="1"/>
    <xf numFmtId="0" fontId="13" fillId="0" borderId="10" xfId="0" applyFont="1" applyBorder="1" applyAlignment="1">
      <alignment horizontal="center"/>
    </xf>
    <xf numFmtId="166" fontId="14" fillId="5" borderId="10" xfId="0" applyNumberFormat="1" applyFont="1" applyFill="1" applyBorder="1"/>
    <xf numFmtId="166" fontId="14" fillId="0" borderId="10" xfId="0" applyNumberFormat="1" applyFont="1" applyBorder="1"/>
    <xf numFmtId="0" fontId="13" fillId="0" borderId="10" xfId="0" applyFont="1" applyBorder="1"/>
    <xf numFmtId="166" fontId="14" fillId="11" borderId="10" xfId="0" applyNumberFormat="1" applyFont="1" applyFill="1" applyBorder="1"/>
    <xf numFmtId="0" fontId="14" fillId="0" borderId="10" xfId="0" applyFont="1" applyBorder="1"/>
    <xf numFmtId="165" fontId="17" fillId="0" borderId="10" xfId="0" applyNumberFormat="1" applyFont="1" applyBorder="1" applyAlignment="1">
      <alignment horizontal="left" vertical="center"/>
    </xf>
    <xf numFmtId="10" fontId="14" fillId="0" borderId="10" xfId="5" applyNumberFormat="1" applyFont="1" applyFill="1" applyBorder="1"/>
    <xf numFmtId="3" fontId="15" fillId="11" borderId="10" xfId="9" applyNumberFormat="1" applyFont="1" applyFill="1" applyBorder="1"/>
    <xf numFmtId="0" fontId="13" fillId="0" borderId="10" xfId="0" applyFont="1" applyBorder="1" applyAlignment="1">
      <alignment horizontal="left"/>
    </xf>
    <xf numFmtId="9" fontId="14" fillId="5" borderId="9" xfId="0" applyNumberFormat="1" applyFont="1" applyFill="1" applyBorder="1"/>
    <xf numFmtId="10" fontId="14" fillId="2" borderId="9" xfId="5" applyNumberFormat="1" applyFont="1" applyFill="1" applyBorder="1"/>
    <xf numFmtId="0" fontId="14" fillId="11" borderId="12" xfId="0" applyFont="1" applyFill="1" applyBorder="1"/>
    <xf numFmtId="0" fontId="14" fillId="11" borderId="13" xfId="0" applyFont="1" applyFill="1" applyBorder="1"/>
    <xf numFmtId="0" fontId="13" fillId="11" borderId="13" xfId="0" applyFont="1" applyFill="1" applyBorder="1"/>
    <xf numFmtId="0" fontId="13" fillId="11" borderId="14" xfId="0" applyFont="1" applyFill="1" applyBorder="1"/>
    <xf numFmtId="0" fontId="14" fillId="11" borderId="15" xfId="0" applyFont="1" applyFill="1" applyBorder="1"/>
    <xf numFmtId="0" fontId="14" fillId="11" borderId="0" xfId="0" applyFont="1" applyFill="1" applyBorder="1"/>
    <xf numFmtId="167" fontId="13" fillId="11" borderId="0" xfId="0" applyNumberFormat="1" applyFont="1" applyFill="1" applyBorder="1"/>
    <xf numFmtId="10" fontId="14" fillId="11" borderId="0" xfId="0" applyNumberFormat="1" applyFont="1" applyFill="1" applyBorder="1"/>
    <xf numFmtId="10" fontId="14" fillId="11" borderId="16" xfId="0" applyNumberFormat="1" applyFont="1" applyFill="1" applyBorder="1"/>
    <xf numFmtId="168" fontId="13" fillId="11" borderId="0" xfId="0" applyNumberFormat="1" applyFont="1" applyFill="1" applyBorder="1"/>
    <xf numFmtId="169" fontId="13" fillId="11" borderId="0" xfId="0" applyNumberFormat="1" applyFont="1" applyFill="1" applyBorder="1"/>
    <xf numFmtId="3" fontId="13" fillId="11" borderId="0" xfId="0" applyNumberFormat="1" applyFont="1" applyFill="1" applyBorder="1"/>
    <xf numFmtId="3" fontId="14" fillId="11" borderId="0" xfId="0" applyNumberFormat="1" applyFont="1" applyFill="1" applyBorder="1"/>
    <xf numFmtId="3" fontId="14" fillId="11" borderId="16" xfId="0" applyNumberFormat="1" applyFont="1" applyFill="1" applyBorder="1"/>
    <xf numFmtId="0" fontId="14" fillId="11" borderId="16" xfId="0" applyFont="1" applyFill="1" applyBorder="1"/>
    <xf numFmtId="10" fontId="14" fillId="11" borderId="16" xfId="5" applyNumberFormat="1" applyFont="1" applyFill="1" applyBorder="1"/>
    <xf numFmtId="0" fontId="14" fillId="11" borderId="17" xfId="0" applyFont="1" applyFill="1" applyBorder="1"/>
    <xf numFmtId="0" fontId="14" fillId="11" borderId="18" xfId="0" applyFont="1" applyFill="1" applyBorder="1"/>
    <xf numFmtId="10" fontId="14" fillId="11" borderId="18" xfId="0" applyNumberFormat="1" applyFont="1" applyFill="1" applyBorder="1"/>
    <xf numFmtId="10" fontId="14" fillId="11" borderId="18" xfId="5" applyNumberFormat="1" applyFont="1" applyFill="1" applyBorder="1"/>
    <xf numFmtId="10" fontId="14" fillId="11" borderId="19" xfId="5" applyNumberFormat="1" applyFont="1" applyFill="1" applyBorder="1"/>
    <xf numFmtId="3" fontId="14" fillId="2" borderId="0" xfId="0" applyNumberFormat="1" applyFont="1" applyFill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0" fontId="14" fillId="0" borderId="20" xfId="0" applyFont="1" applyBorder="1"/>
    <xf numFmtId="3" fontId="14" fillId="0" borderId="22" xfId="4" applyNumberFormat="1" applyFont="1" applyBorder="1" applyAlignment="1" applyProtection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vertical="center" wrapText="1"/>
    </xf>
    <xf numFmtId="166" fontId="22" fillId="15" borderId="8" xfId="0" applyNumberFormat="1" applyFont="1" applyFill="1" applyBorder="1" applyAlignment="1">
      <alignment horizontal="center"/>
    </xf>
    <xf numFmtId="0" fontId="29" fillId="16" borderId="0" xfId="0" applyFont="1" applyFill="1"/>
    <xf numFmtId="0" fontId="23" fillId="3" borderId="8" xfId="0" applyFont="1" applyFill="1" applyBorder="1" applyAlignment="1">
      <alignment horizontal="left" vertical="center" wrapText="1"/>
    </xf>
    <xf numFmtId="0" fontId="23" fillId="3" borderId="8" xfId="0" applyFont="1" applyFill="1" applyBorder="1" applyAlignment="1">
      <alignment horizontal="centerContinuous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2" fillId="0" borderId="8" xfId="0" applyFont="1" applyFill="1" applyBorder="1"/>
    <xf numFmtId="3" fontId="22" fillId="0" borderId="8" xfId="0" applyNumberFormat="1" applyFont="1" applyBorder="1"/>
    <xf numFmtId="9" fontId="22" fillId="0" borderId="8" xfId="0" applyNumberFormat="1" applyFont="1" applyFill="1" applyBorder="1"/>
    <xf numFmtId="3" fontId="22" fillId="14" borderId="8" xfId="0" applyNumberFormat="1" applyFont="1" applyFill="1" applyBorder="1"/>
    <xf numFmtId="3" fontId="22" fillId="2" borderId="8" xfId="0" applyNumberFormat="1" applyFont="1" applyFill="1" applyBorder="1"/>
    <xf numFmtId="173" fontId="2" fillId="0" borderId="0" xfId="6" applyNumberFormat="1" applyFont="1"/>
    <xf numFmtId="165" fontId="2" fillId="0" borderId="0" xfId="0" applyNumberFormat="1" applyFont="1"/>
    <xf numFmtId="0" fontId="32" fillId="3" borderId="23" xfId="0" applyFont="1" applyFill="1" applyBorder="1"/>
    <xf numFmtId="0" fontId="32" fillId="3" borderId="24" xfId="0" applyFont="1" applyFill="1" applyBorder="1"/>
    <xf numFmtId="0" fontId="32" fillId="3" borderId="25" xfId="0" applyFont="1" applyFill="1" applyBorder="1"/>
    <xf numFmtId="172" fontId="25" fillId="2" borderId="8" xfId="1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right"/>
    </xf>
    <xf numFmtId="0" fontId="14" fillId="0" borderId="9" xfId="0" applyFont="1" applyBorder="1" applyAlignment="1">
      <alignment horizontal="right" vertical="center" wrapText="1"/>
    </xf>
    <xf numFmtId="43" fontId="14" fillId="2" borderId="9" xfId="12" applyFont="1" applyFill="1" applyBorder="1"/>
    <xf numFmtId="43" fontId="14" fillId="19" borderId="9" xfId="12" applyFont="1" applyFill="1" applyBorder="1"/>
    <xf numFmtId="43" fontId="14" fillId="0" borderId="9" xfId="12" applyFont="1" applyFill="1" applyBorder="1"/>
    <xf numFmtId="165" fontId="17" fillId="18" borderId="9" xfId="0" applyNumberFormat="1" applyFont="1" applyFill="1" applyBorder="1" applyAlignment="1">
      <alignment horizontal="left" vertical="center"/>
    </xf>
    <xf numFmtId="3" fontId="14" fillId="14" borderId="0" xfId="0" applyNumberFormat="1" applyFont="1" applyFill="1" applyBorder="1" applyAlignment="1">
      <alignment horizontal="center" vertical="center"/>
    </xf>
    <xf numFmtId="165" fontId="18" fillId="0" borderId="9" xfId="0" applyNumberFormat="1" applyFont="1" applyFill="1" applyBorder="1" applyAlignment="1">
      <alignment horizontal="center" vertical="center"/>
    </xf>
    <xf numFmtId="165" fontId="18" fillId="0" borderId="11" xfId="0" applyNumberFormat="1" applyFont="1" applyFill="1" applyBorder="1" applyAlignment="1">
      <alignment horizontal="center" vertical="center"/>
    </xf>
    <xf numFmtId="172" fontId="22" fillId="2" borderId="8" xfId="10" applyNumberFormat="1" applyFont="1" applyFill="1" applyBorder="1" applyAlignment="1">
      <alignment horizontal="center"/>
    </xf>
    <xf numFmtId="172" fontId="22" fillId="0" borderId="8" xfId="10" applyNumberFormat="1" applyFont="1" applyBorder="1" applyAlignment="1">
      <alignment horizontal="center"/>
    </xf>
    <xf numFmtId="172" fontId="22" fillId="14" borderId="8" xfId="10" applyNumberFormat="1" applyFont="1" applyFill="1" applyBorder="1" applyAlignment="1">
      <alignment horizontal="center"/>
    </xf>
    <xf numFmtId="172" fontId="22" fillId="0" borderId="8" xfId="10" applyNumberFormat="1" applyFont="1" applyFill="1" applyBorder="1" applyAlignment="1">
      <alignment horizontal="center"/>
    </xf>
    <xf numFmtId="3" fontId="2" fillId="0" borderId="0" xfId="0" applyNumberFormat="1" applyFont="1"/>
    <xf numFmtId="172" fontId="22" fillId="0" borderId="8" xfId="10" applyNumberFormat="1" applyFont="1" applyFill="1" applyBorder="1" applyAlignment="1">
      <alignment horizontal="right"/>
    </xf>
    <xf numFmtId="0" fontId="32" fillId="3" borderId="26" xfId="0" applyFont="1" applyFill="1" applyBorder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2" fontId="30" fillId="0" borderId="8" xfId="0" applyNumberFormat="1" applyFont="1" applyBorder="1" applyAlignment="1">
      <alignment horizontal="center" vertical="center" wrapText="1"/>
    </xf>
    <xf numFmtId="2" fontId="30" fillId="0" borderId="8" xfId="0" quotePrefix="1" applyNumberFormat="1" applyFont="1" applyBorder="1" applyAlignment="1">
      <alignment horizontal="center" vertical="center" wrapText="1"/>
    </xf>
    <xf numFmtId="3" fontId="30" fillId="0" borderId="8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vertical="center" wrapText="1"/>
    </xf>
    <xf numFmtId="0" fontId="30" fillId="0" borderId="25" xfId="0" applyFont="1" applyBorder="1" applyAlignment="1">
      <alignment horizontal="center" vertical="center" wrapText="1"/>
    </xf>
    <xf numFmtId="0" fontId="32" fillId="3" borderId="8" xfId="0" applyFont="1" applyFill="1" applyBorder="1" applyAlignment="1">
      <alignment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0" fillId="17" borderId="8" xfId="0" applyFont="1" applyFill="1" applyBorder="1" applyAlignment="1">
      <alignment vertical="center" wrapText="1"/>
    </xf>
  </cellXfs>
  <cellStyles count="13">
    <cellStyle name="Assumptions Right Number" xfId="4"/>
    <cellStyle name="Comma" xfId="12" builtinId="3"/>
    <cellStyle name="Comma 2" xfId="6"/>
    <cellStyle name="Comma 5 2" xfId="11"/>
    <cellStyle name="Currency 2" xfId="7"/>
    <cellStyle name="Normal" xfId="0" builtinId="0"/>
    <cellStyle name="Normal 11" xfId="2"/>
    <cellStyle name="Normal 2" xfId="9"/>
    <cellStyle name="Normal 3 2" xfId="8"/>
    <cellStyle name="Normal 5 25" xfId="3"/>
    <cellStyle name="Normal 7" xfId="1"/>
    <cellStyle name="Percent" xfId="10" builtinId="5"/>
    <cellStyle name="Percent 2" xfId="5"/>
  </cellStyles>
  <dxfs count="0"/>
  <tableStyles count="0" defaultTableStyle="TableStyleMedium2" defaultPivotStyle="PivotStyleLight16"/>
  <colors>
    <mruColors>
      <color rgb="FFCCFFCC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441198</xdr:colOff>
      <xdr:row>1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E2A4A8-5507-470C-9A10-30C42426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648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441198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7A27D-D795-4BEC-B198-1F7FEE7F9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648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441198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0745FE-4AC0-4526-AB87-96104C0C0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648" cy="371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441198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20A44A-98A5-4A10-8300-598C83B66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648" cy="371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441198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6E9CCD-A242-441D-9E0F-A51F1F34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648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Jemena v2">
  <a:themeElements>
    <a:clrScheme name="Jemena v2">
      <a:dk1>
        <a:srgbClr val="000000"/>
      </a:dk1>
      <a:lt1>
        <a:sysClr val="window" lastClr="FFFFFF"/>
      </a:lt1>
      <a:dk2>
        <a:srgbClr val="26BCD7"/>
      </a:dk2>
      <a:lt2>
        <a:srgbClr val="7DCCE0"/>
      </a:lt2>
      <a:accent1>
        <a:srgbClr val="173583"/>
      </a:accent1>
      <a:accent2>
        <a:srgbClr val="E3E2D8"/>
      </a:accent2>
      <a:accent3>
        <a:srgbClr val="26BCD7"/>
      </a:accent3>
      <a:accent4>
        <a:srgbClr val="026CB6"/>
      </a:accent4>
      <a:accent5>
        <a:srgbClr val="38393C"/>
      </a:accent5>
      <a:accent6>
        <a:srgbClr val="F58220"/>
      </a:accent6>
      <a:hlink>
        <a:srgbClr val="26BCD7"/>
      </a:hlink>
      <a:folHlink>
        <a:srgbClr val="F58220"/>
      </a:folHlink>
    </a:clrScheme>
    <a:fontScheme name="Arial">
      <a:majorFont>
        <a:latin typeface="Arial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B1:M50"/>
  <sheetViews>
    <sheetView showGridLines="0" tabSelected="1" zoomScaleNormal="100" workbookViewId="0"/>
  </sheetViews>
  <sheetFormatPr defaultColWidth="9" defaultRowHeight="14" x14ac:dyDescent="0.3"/>
  <cols>
    <col min="1" max="2" width="1.26953125" style="1" customWidth="1"/>
    <col min="3" max="3" width="58.453125" style="1" customWidth="1"/>
    <col min="4" max="9" width="13.81640625" style="1" customWidth="1"/>
    <col min="10" max="10" width="14.54296875" style="1" customWidth="1"/>
    <col min="11" max="11" width="16.1796875" style="1" customWidth="1"/>
    <col min="12" max="12" width="12" style="1" customWidth="1"/>
    <col min="13" max="13" width="11.54296875" style="1" customWidth="1"/>
    <col min="14" max="36" width="10.453125" style="1" customWidth="1"/>
    <col min="37" max="16384" width="9" style="1"/>
  </cols>
  <sheetData>
    <row r="1" spans="2:13" s="13" customFormat="1" ht="15.5" x14ac:dyDescent="0.2">
      <c r="B1" s="14"/>
      <c r="C1" s="15" t="s">
        <v>143</v>
      </c>
      <c r="D1" s="15"/>
      <c r="E1" s="15"/>
      <c r="F1" s="27" t="s">
        <v>7</v>
      </c>
      <c r="G1" s="4" t="s">
        <v>8</v>
      </c>
      <c r="H1" s="5" t="s">
        <v>9</v>
      </c>
      <c r="I1" s="6" t="s">
        <v>10</v>
      </c>
      <c r="J1" s="7" t="s">
        <v>11</v>
      </c>
      <c r="K1" s="8" t="s">
        <v>12</v>
      </c>
      <c r="L1" s="9" t="s">
        <v>13</v>
      </c>
      <c r="M1" s="10" t="s">
        <v>14</v>
      </c>
    </row>
    <row r="2" spans="2:13" s="16" customFormat="1" ht="13.5" thickBot="1" x14ac:dyDescent="0.35">
      <c r="B2" s="17"/>
      <c r="C2" s="18" t="s">
        <v>142</v>
      </c>
      <c r="D2" s="19"/>
      <c r="E2" s="19"/>
      <c r="F2" s="19"/>
      <c r="G2" s="20"/>
      <c r="H2" s="20"/>
    </row>
    <row r="3" spans="2:13" s="21" customFormat="1" ht="11.25" customHeight="1" x14ac:dyDescent="0.3">
      <c r="B3" s="22"/>
      <c r="C3" s="23"/>
    </row>
    <row r="4" spans="2:13" s="11" customFormat="1" ht="3" customHeight="1" x14ac:dyDescent="0.2">
      <c r="B4" s="12"/>
    </row>
    <row r="5" spans="2:13" s="11" customFormat="1" ht="9" customHeight="1" x14ac:dyDescent="0.2">
      <c r="B5" s="12" t="s">
        <v>15</v>
      </c>
    </row>
    <row r="6" spans="2:13" s="11" customFormat="1" ht="3" customHeight="1" x14ac:dyDescent="0.2">
      <c r="B6" s="12"/>
    </row>
    <row r="7" spans="2:13" s="24" customFormat="1" ht="13" x14ac:dyDescent="0.3">
      <c r="B7" s="25" t="s">
        <v>159</v>
      </c>
      <c r="C7" s="26"/>
    </row>
    <row r="9" spans="2:13" ht="23" x14ac:dyDescent="0.3">
      <c r="C9" s="202"/>
      <c r="D9" s="194" t="s">
        <v>132</v>
      </c>
      <c r="E9" s="203" t="s">
        <v>157</v>
      </c>
    </row>
    <row r="10" spans="2:13" x14ac:dyDescent="0.3">
      <c r="C10" s="202"/>
      <c r="D10" s="195" t="s">
        <v>133</v>
      </c>
      <c r="E10" s="203"/>
    </row>
    <row r="11" spans="2:13" x14ac:dyDescent="0.3">
      <c r="C11" s="204" t="s">
        <v>129</v>
      </c>
      <c r="D11" s="204"/>
      <c r="E11" s="204"/>
    </row>
    <row r="12" spans="2:13" x14ac:dyDescent="0.3">
      <c r="C12" s="196" t="s">
        <v>134</v>
      </c>
      <c r="D12" s="197">
        <f>H27</f>
        <v>0.63296345956924238</v>
      </c>
      <c r="E12" s="198" t="str">
        <f>TEXT(H28,"0.00")&amp;" (+"&amp;TEXT(H29,"0%")&amp;")"</f>
        <v>0.68 (+7%)</v>
      </c>
    </row>
    <row r="13" spans="2:13" x14ac:dyDescent="0.3">
      <c r="C13" s="196" t="s">
        <v>135</v>
      </c>
      <c r="D13" s="197">
        <f>I27</f>
        <v>0.59823960266599241</v>
      </c>
      <c r="E13" s="198" t="str">
        <f>TEXT(I28,"0.00")&amp;" (+"&amp;TEXT(I29,"0%")&amp;")"</f>
        <v>0.64 (+6%)</v>
      </c>
    </row>
    <row r="14" spans="2:13" x14ac:dyDescent="0.3">
      <c r="C14" s="204" t="s">
        <v>163</v>
      </c>
      <c r="D14" s="204"/>
      <c r="E14" s="204"/>
    </row>
    <row r="15" spans="2:13" x14ac:dyDescent="0.3">
      <c r="C15" s="196" t="s">
        <v>134</v>
      </c>
      <c r="D15" s="199">
        <f>H37</f>
        <v>69.85569428297562</v>
      </c>
      <c r="E15" s="198" t="str">
        <f>TEXT(H47,"0")&amp;" (+"&amp;TEXT(H48,"0%")&amp;")"</f>
        <v>78 (+8%)</v>
      </c>
    </row>
    <row r="16" spans="2:13" x14ac:dyDescent="0.3">
      <c r="C16" s="196" t="s">
        <v>135</v>
      </c>
      <c r="D16" s="199">
        <f>I37</f>
        <v>65.973627905193979</v>
      </c>
      <c r="E16" s="198" t="str">
        <f>TEXT(I47,"0")&amp;" (+"&amp;TEXT(I48,"0%")&amp;")"</f>
        <v>74 (+9%)</v>
      </c>
    </row>
    <row r="17" spans="2:13" x14ac:dyDescent="0.3">
      <c r="C17" s="204" t="s">
        <v>164</v>
      </c>
      <c r="D17" s="204"/>
      <c r="E17" s="204"/>
    </row>
    <row r="18" spans="2:13" x14ac:dyDescent="0.3">
      <c r="C18" s="200" t="s">
        <v>136</v>
      </c>
      <c r="D18" s="201"/>
      <c r="E18" s="199">
        <f>D45</f>
        <v>81.777105093240138</v>
      </c>
    </row>
    <row r="19" spans="2:13" x14ac:dyDescent="0.3">
      <c r="C19" s="200" t="s">
        <v>137</v>
      </c>
      <c r="D19" s="201"/>
      <c r="E19" s="199">
        <f>D44</f>
        <v>77.777105093240138</v>
      </c>
    </row>
    <row r="21" spans="2:13" s="24" customFormat="1" ht="13" x14ac:dyDescent="0.3">
      <c r="B21" s="25" t="s">
        <v>152</v>
      </c>
      <c r="C21" s="26"/>
    </row>
    <row r="22" spans="2:13" x14ac:dyDescent="0.3">
      <c r="C22" s="3"/>
      <c r="M22" s="2"/>
    </row>
    <row r="23" spans="2:13" s="51" customFormat="1" ht="12.5" x14ac:dyDescent="0.25">
      <c r="C23" s="164" t="s">
        <v>129</v>
      </c>
    </row>
    <row r="25" spans="2:13" x14ac:dyDescent="0.3">
      <c r="C25" s="165"/>
      <c r="D25" s="166" t="s">
        <v>6</v>
      </c>
      <c r="E25" s="166"/>
      <c r="F25" s="166" t="s">
        <v>5</v>
      </c>
      <c r="G25" s="166"/>
      <c r="H25" s="167" t="str">
        <f>D25</f>
        <v>2006-2019</v>
      </c>
      <c r="I25" s="167" t="str">
        <f>F25</f>
        <v>2012-2019</v>
      </c>
    </row>
    <row r="26" spans="2:13" x14ac:dyDescent="0.3">
      <c r="C26" s="165" t="s">
        <v>130</v>
      </c>
      <c r="D26" s="167" t="s">
        <v>4</v>
      </c>
      <c r="E26" s="167" t="s">
        <v>3</v>
      </c>
      <c r="F26" s="167" t="s">
        <v>4</v>
      </c>
      <c r="G26" s="167" t="s">
        <v>3</v>
      </c>
      <c r="H26" s="167" t="s">
        <v>2</v>
      </c>
      <c r="I26" s="167" t="s">
        <v>2</v>
      </c>
    </row>
    <row r="27" spans="2:13" x14ac:dyDescent="0.3">
      <c r="C27" s="170" t="s">
        <v>131</v>
      </c>
      <c r="D27" s="188">
        <v>0.64152880618684149</v>
      </c>
      <c r="E27" s="188">
        <v>0.62439811295164327</v>
      </c>
      <c r="F27" s="188">
        <v>0.60848493603781284</v>
      </c>
      <c r="G27" s="188">
        <v>0.58799426929417198</v>
      </c>
      <c r="H27" s="189">
        <f>AVERAGE(D27:E27)</f>
        <v>0.63296345956924238</v>
      </c>
      <c r="I27" s="189">
        <f>AVERAGE(F27:G27)</f>
        <v>0.59823960266599241</v>
      </c>
    </row>
    <row r="28" spans="2:13" x14ac:dyDescent="0.3">
      <c r="C28" s="170" t="s">
        <v>165</v>
      </c>
      <c r="D28" s="190">
        <f>'Calc|Eff Target'!D25</f>
        <v>0.68753503618808331</v>
      </c>
      <c r="E28" s="190">
        <f>'Calc|Eff Target'!D45</f>
        <v>0.67152100063207121</v>
      </c>
      <c r="F28" s="190">
        <f>'Calc|Eff Target'!E25</f>
        <v>0.64674562602901431</v>
      </c>
      <c r="G28" s="190">
        <f>'Calc|Eff Target'!E45</f>
        <v>0.62624505031992017</v>
      </c>
      <c r="H28" s="189">
        <f>AVERAGE(D28:E28)</f>
        <v>0.67952801841007726</v>
      </c>
      <c r="I28" s="189">
        <f>AVERAGE(F28:G28)</f>
        <v>0.63649533817446724</v>
      </c>
    </row>
    <row r="29" spans="2:13" x14ac:dyDescent="0.3">
      <c r="C29" s="170" t="s">
        <v>154</v>
      </c>
      <c r="D29" s="191">
        <f>D28/D27-1</f>
        <v>7.1713428232001775E-2</v>
      </c>
      <c r="E29" s="191">
        <f t="shared" ref="E29:I29" si="0">E28/E27-1</f>
        <v>7.5469298678161323E-2</v>
      </c>
      <c r="F29" s="191">
        <f t="shared" si="0"/>
        <v>6.2878614942118771E-2</v>
      </c>
      <c r="G29" s="191">
        <f t="shared" si="0"/>
        <v>6.5052982696012451E-2</v>
      </c>
      <c r="H29" s="191">
        <f t="shared" si="0"/>
        <v>7.3565950983211614E-2</v>
      </c>
      <c r="I29" s="191">
        <f t="shared" si="0"/>
        <v>6.3947179922546393E-2</v>
      </c>
    </row>
    <row r="30" spans="2:13" x14ac:dyDescent="0.3">
      <c r="C30" s="3"/>
      <c r="M30" s="2"/>
    </row>
    <row r="31" spans="2:13" s="51" customFormat="1" ht="12.5" x14ac:dyDescent="0.25">
      <c r="C31" s="164" t="s">
        <v>153</v>
      </c>
    </row>
    <row r="32" spans="2:13" x14ac:dyDescent="0.3">
      <c r="C32" s="3"/>
      <c r="M32" s="2"/>
    </row>
    <row r="33" spans="3:13" x14ac:dyDescent="0.3">
      <c r="C33" s="165" t="s">
        <v>161</v>
      </c>
      <c r="D33" s="166" t="s">
        <v>6</v>
      </c>
      <c r="E33" s="166"/>
      <c r="F33" s="166" t="s">
        <v>5</v>
      </c>
      <c r="G33" s="166"/>
      <c r="H33" s="167" t="str">
        <f>D33</f>
        <v>2006-2019</v>
      </c>
      <c r="I33" s="167" t="str">
        <f>F33</f>
        <v>2012-2019</v>
      </c>
    </row>
    <row r="34" spans="3:13" x14ac:dyDescent="0.3">
      <c r="C34" s="165" t="s">
        <v>160</v>
      </c>
      <c r="D34" s="167" t="s">
        <v>4</v>
      </c>
      <c r="E34" s="167" t="s">
        <v>3</v>
      </c>
      <c r="F34" s="167" t="s">
        <v>4</v>
      </c>
      <c r="G34" s="167" t="s">
        <v>3</v>
      </c>
      <c r="H34" s="167" t="s">
        <v>2</v>
      </c>
      <c r="I34" s="167" t="s">
        <v>2</v>
      </c>
    </row>
    <row r="35" spans="3:13" x14ac:dyDescent="0.3">
      <c r="C35" s="168" t="s">
        <v>1</v>
      </c>
      <c r="D35" s="169">
        <f t="shared" ref="D35:I35" si="1">D36-4/$D$40</f>
        <v>75.324887156084344</v>
      </c>
      <c r="E35" s="169">
        <f t="shared" si="1"/>
        <v>75.324887156084344</v>
      </c>
      <c r="F35" s="169">
        <f t="shared" si="1"/>
        <v>75.324887156084344</v>
      </c>
      <c r="G35" s="169">
        <f t="shared" si="1"/>
        <v>75.324887156084344</v>
      </c>
      <c r="H35" s="169">
        <f t="shared" si="1"/>
        <v>75.324887156084344</v>
      </c>
      <c r="I35" s="169">
        <f t="shared" si="1"/>
        <v>75.324887156084344</v>
      </c>
    </row>
    <row r="36" spans="3:13" x14ac:dyDescent="0.3">
      <c r="C36" s="168" t="s">
        <v>0</v>
      </c>
      <c r="D36" s="171">
        <f>'Input|Opex'!F127/10^3</f>
        <v>79.198771999999991</v>
      </c>
      <c r="E36" s="169">
        <f t="shared" ref="E36:I36" si="2">D36</f>
        <v>79.198771999999991</v>
      </c>
      <c r="F36" s="169">
        <f t="shared" si="2"/>
        <v>79.198771999999991</v>
      </c>
      <c r="G36" s="169">
        <f t="shared" si="2"/>
        <v>79.198771999999991</v>
      </c>
      <c r="H36" s="169">
        <f t="shared" si="2"/>
        <v>79.198771999999991</v>
      </c>
      <c r="I36" s="169">
        <f t="shared" si="2"/>
        <v>79.198771999999991</v>
      </c>
    </row>
    <row r="37" spans="3:13" x14ac:dyDescent="0.3">
      <c r="C37" s="170" t="s">
        <v>156</v>
      </c>
      <c r="D37" s="172">
        <v>70.807521758996998</v>
      </c>
      <c r="E37" s="172">
        <v>68.903866806954241</v>
      </c>
      <c r="F37" s="172">
        <v>67.114947991910469</v>
      </c>
      <c r="G37" s="172">
        <v>64.832307818477489</v>
      </c>
      <c r="H37" s="169">
        <f>AVERAGE(D37:E37)</f>
        <v>69.85569428297562</v>
      </c>
      <c r="I37" s="169">
        <f>AVERAGE(F37:G37)</f>
        <v>65.973627905193979</v>
      </c>
    </row>
    <row r="38" spans="3:13" x14ac:dyDescent="0.3">
      <c r="C38" s="170" t="s">
        <v>166</v>
      </c>
      <c r="D38" s="171">
        <f>'Calc|Opex Forecasts'!$H$52/10^3</f>
        <v>75.751334213893955</v>
      </c>
      <c r="E38" s="171">
        <f>'Calc|Opex Forecasts'!$M$52/10^3</f>
        <v>75.121307649131467</v>
      </c>
      <c r="F38" s="171">
        <f>'Calc|Opex Forecasts'!$H$92/10^3</f>
        <v>72.985330395459911</v>
      </c>
      <c r="G38" s="171">
        <f>'Calc|Opex Forecasts'!$M$92/10^3</f>
        <v>71.075619834509553</v>
      </c>
      <c r="H38" s="169">
        <f>AVERAGE(D38:E38)</f>
        <v>75.436320931512711</v>
      </c>
      <c r="I38" s="169">
        <f>AVERAGE(F38:G38)</f>
        <v>72.030475114984739</v>
      </c>
    </row>
    <row r="39" spans="3:13" x14ac:dyDescent="0.3">
      <c r="C39" s="3"/>
      <c r="D39" s="192"/>
      <c r="E39" s="192"/>
      <c r="F39" s="192"/>
      <c r="G39" s="192"/>
      <c r="M39" s="2"/>
    </row>
    <row r="40" spans="3:13" ht="14.25" customHeight="1" x14ac:dyDescent="0.3">
      <c r="C40" s="162" t="s">
        <v>16</v>
      </c>
      <c r="D40" s="163">
        <v>1.0325552155434954</v>
      </c>
      <c r="M40" s="2"/>
    </row>
    <row r="41" spans="3:13" x14ac:dyDescent="0.3">
      <c r="C41" s="3"/>
      <c r="M41" s="2"/>
    </row>
    <row r="42" spans="3:13" x14ac:dyDescent="0.3">
      <c r="C42" s="165" t="s">
        <v>162</v>
      </c>
      <c r="D42" s="166" t="s">
        <v>6</v>
      </c>
      <c r="E42" s="166"/>
      <c r="F42" s="166" t="s">
        <v>5</v>
      </c>
      <c r="G42" s="166"/>
      <c r="H42" s="167" t="str">
        <f>D42</f>
        <v>2006-2019</v>
      </c>
      <c r="I42" s="167" t="str">
        <f>F42</f>
        <v>2012-2019</v>
      </c>
      <c r="M42" s="2"/>
    </row>
    <row r="43" spans="3:13" x14ac:dyDescent="0.3">
      <c r="C43" s="165" t="s">
        <v>160</v>
      </c>
      <c r="D43" s="167" t="s">
        <v>4</v>
      </c>
      <c r="E43" s="167" t="s">
        <v>3</v>
      </c>
      <c r="F43" s="167" t="s">
        <v>4</v>
      </c>
      <c r="G43" s="167" t="s">
        <v>3</v>
      </c>
      <c r="H43" s="167" t="s">
        <v>2</v>
      </c>
      <c r="I43" s="167" t="s">
        <v>2</v>
      </c>
      <c r="M43" s="2"/>
    </row>
    <row r="44" spans="3:13" x14ac:dyDescent="0.3">
      <c r="C44" s="168" t="str">
        <f>C35</f>
        <v>JEN 2018 network services opex (with $4M p.a. reduction)</v>
      </c>
      <c r="D44" s="169">
        <f>D45-4</f>
        <v>77.777105093240138</v>
      </c>
      <c r="E44" s="169">
        <f t="shared" ref="E44:I45" si="3">D44</f>
        <v>77.777105093240138</v>
      </c>
      <c r="F44" s="169">
        <f t="shared" si="3"/>
        <v>77.777105093240138</v>
      </c>
      <c r="G44" s="169">
        <f t="shared" si="3"/>
        <v>77.777105093240138</v>
      </c>
      <c r="H44" s="169">
        <f t="shared" si="3"/>
        <v>77.777105093240138</v>
      </c>
      <c r="I44" s="169">
        <f t="shared" si="3"/>
        <v>77.777105093240138</v>
      </c>
      <c r="M44" s="2"/>
    </row>
    <row r="45" spans="3:13" x14ac:dyDescent="0.3">
      <c r="C45" s="168" t="str">
        <f>C36</f>
        <v>JEN 2018 network services opex</v>
      </c>
      <c r="D45" s="169">
        <f>D36*$D$40</f>
        <v>81.777105093240138</v>
      </c>
      <c r="E45" s="169">
        <f t="shared" si="3"/>
        <v>81.777105093240138</v>
      </c>
      <c r="F45" s="169">
        <f t="shared" si="3"/>
        <v>81.777105093240138</v>
      </c>
      <c r="G45" s="169">
        <f t="shared" si="3"/>
        <v>81.777105093240138</v>
      </c>
      <c r="H45" s="169">
        <f t="shared" si="3"/>
        <v>81.777105093240138</v>
      </c>
      <c r="I45" s="169">
        <f t="shared" si="3"/>
        <v>81.777105093240138</v>
      </c>
      <c r="M45" s="2"/>
    </row>
    <row r="46" spans="3:13" x14ac:dyDescent="0.3">
      <c r="C46" s="170" t="str">
        <f>C37</f>
        <v>Efficient opex - 2014 CAM</v>
      </c>
      <c r="D46" s="169">
        <f>D37*$D$40</f>
        <v>73.112675891961885</v>
      </c>
      <c r="E46" s="169">
        <f t="shared" ref="E46:G47" si="4">E37*$D$40</f>
        <v>71.147047042634938</v>
      </c>
      <c r="F46" s="169">
        <f t="shared" si="4"/>
        <v>69.299889589977596</v>
      </c>
      <c r="G46" s="169">
        <f t="shared" si="4"/>
        <v>66.942937573690259</v>
      </c>
      <c r="H46" s="169">
        <f>AVERAGE(D46:E46)</f>
        <v>72.129861467298412</v>
      </c>
      <c r="I46" s="169">
        <f>AVERAGE(F46:G46)</f>
        <v>68.121413581833934</v>
      </c>
      <c r="M46" s="2"/>
    </row>
    <row r="47" spans="3:13" x14ac:dyDescent="0.3">
      <c r="C47" s="170" t="str">
        <f>C38</f>
        <v>Efficient opex - Common capitalisation scenario</v>
      </c>
      <c r="D47" s="169">
        <f>D38*$D$40</f>
        <v>78.217435226934626</v>
      </c>
      <c r="E47" s="169">
        <f t="shared" si="4"/>
        <v>77.566898011558166</v>
      </c>
      <c r="F47" s="169">
        <f t="shared" si="4"/>
        <v>75.361383557997328</v>
      </c>
      <c r="G47" s="169">
        <f t="shared" si="4"/>
        <v>73.389501958109548</v>
      </c>
      <c r="H47" s="169">
        <f>AVERAGE(D47:E47)</f>
        <v>77.892166619246396</v>
      </c>
      <c r="I47" s="169">
        <f>AVERAGE(F47:G47)</f>
        <v>74.375442758053438</v>
      </c>
      <c r="M47" s="2"/>
    </row>
    <row r="48" spans="3:13" x14ac:dyDescent="0.3">
      <c r="C48" s="170" t="s">
        <v>155</v>
      </c>
      <c r="D48" s="193">
        <f>D47/D46-1</f>
        <v>6.9820441841248027E-2</v>
      </c>
      <c r="E48" s="193">
        <f t="shared" ref="E48:I48" si="5">E47/E46-1</f>
        <v>9.023355481044959E-2</v>
      </c>
      <c r="F48" s="193">
        <f t="shared" si="5"/>
        <v>8.7467584780919649E-2</v>
      </c>
      <c r="G48" s="193">
        <f t="shared" si="5"/>
        <v>9.6299394948465844E-2</v>
      </c>
      <c r="H48" s="193">
        <f t="shared" si="5"/>
        <v>7.9887927617335652E-2</v>
      </c>
      <c r="I48" s="193">
        <f t="shared" si="5"/>
        <v>9.180709629148498E-2</v>
      </c>
      <c r="M48" s="2"/>
    </row>
    <row r="49" spans="2:3" x14ac:dyDescent="0.3">
      <c r="C49" s="28"/>
    </row>
    <row r="50" spans="2:3" s="24" customFormat="1" ht="13" x14ac:dyDescent="0.3">
      <c r="B50" s="25" t="s">
        <v>122</v>
      </c>
      <c r="C50" s="26"/>
    </row>
  </sheetData>
  <mergeCells count="5">
    <mergeCell ref="C9:C10"/>
    <mergeCell ref="E9:E10"/>
    <mergeCell ref="C11:E11"/>
    <mergeCell ref="C14:E14"/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topLeftCell="A1048576" workbookViewId="0"/>
  </sheetViews>
  <sheetFormatPr defaultRowHeight="12.5" zeroHeight="1" x14ac:dyDescent="0.25"/>
  <sheetData>
    <row r="1" hidden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T274"/>
  <sheetViews>
    <sheetView showGridLines="0" zoomScaleNormal="100" zoomScalePageLayoutView="150" workbookViewId="0">
      <pane ySplit="16" topLeftCell="A17" activePane="bottomLeft" state="frozen"/>
      <selection pane="bottomLeft" activeCell="A17" sqref="A17"/>
    </sheetView>
  </sheetViews>
  <sheetFormatPr defaultColWidth="9" defaultRowHeight="12.5" x14ac:dyDescent="0.25"/>
  <cols>
    <col min="1" max="2" width="1.26953125" customWidth="1"/>
    <col min="3" max="3" width="10.1796875" customWidth="1"/>
    <col min="4" max="5" width="10.26953125" customWidth="1"/>
    <col min="6" max="6" width="19.81640625" customWidth="1"/>
    <col min="7" max="7" width="13.7265625" customWidth="1"/>
    <col min="8" max="12" width="12.1796875" customWidth="1"/>
    <col min="13" max="19" width="10.26953125" customWidth="1"/>
    <col min="20" max="36" width="10.453125" customWidth="1"/>
  </cols>
  <sheetData>
    <row r="1" spans="2:13" s="13" customFormat="1" ht="15.5" x14ac:dyDescent="0.2">
      <c r="B1" s="14"/>
      <c r="C1" s="15" t="str">
        <f>'Output|Benchmarking Results'!C1</f>
        <v>JEN - Benchmarking analysis on common capitalisation</v>
      </c>
      <c r="D1" s="15"/>
      <c r="E1" s="15"/>
      <c r="F1" s="27" t="s">
        <v>7</v>
      </c>
      <c r="G1" s="4" t="s">
        <v>8</v>
      </c>
      <c r="H1" s="5" t="s">
        <v>9</v>
      </c>
      <c r="I1" s="6" t="s">
        <v>10</v>
      </c>
      <c r="J1" s="7" t="s">
        <v>11</v>
      </c>
      <c r="K1" s="8" t="s">
        <v>12</v>
      </c>
      <c r="L1" s="9" t="s">
        <v>13</v>
      </c>
      <c r="M1" s="10" t="s">
        <v>14</v>
      </c>
    </row>
    <row r="2" spans="2:13" s="16" customFormat="1" ht="13.5" thickBot="1" x14ac:dyDescent="0.35">
      <c r="B2" s="17"/>
      <c r="C2" s="18" t="s">
        <v>158</v>
      </c>
      <c r="D2" s="19"/>
      <c r="E2" s="19"/>
      <c r="F2" s="19"/>
      <c r="G2" s="20"/>
      <c r="H2" s="20"/>
    </row>
    <row r="3" spans="2:13" s="21" customFormat="1" ht="11.25" customHeight="1" x14ac:dyDescent="0.3">
      <c r="B3" s="22"/>
      <c r="C3" s="23"/>
    </row>
    <row r="4" spans="2:13" s="11" customFormat="1" ht="3" customHeight="1" x14ac:dyDescent="0.2">
      <c r="B4" s="12"/>
    </row>
    <row r="5" spans="2:13" s="11" customFormat="1" ht="9" customHeight="1" x14ac:dyDescent="0.2">
      <c r="B5" s="12" t="s">
        <v>15</v>
      </c>
    </row>
    <row r="6" spans="2:13" s="11" customFormat="1" ht="3" customHeight="1" x14ac:dyDescent="0.2">
      <c r="B6" s="12"/>
    </row>
    <row r="7" spans="2:13" s="24" customFormat="1" ht="13" x14ac:dyDescent="0.3">
      <c r="B7" s="25" t="s">
        <v>123</v>
      </c>
      <c r="C7" s="26"/>
    </row>
    <row r="9" spans="2:13" ht="14.5" x14ac:dyDescent="0.35">
      <c r="C9" s="54" t="s">
        <v>144</v>
      </c>
    </row>
    <row r="10" spans="2:13" ht="14.5" x14ac:dyDescent="0.35">
      <c r="C10" s="54" t="s">
        <v>171</v>
      </c>
    </row>
    <row r="12" spans="2:13" s="52" customFormat="1" x14ac:dyDescent="0.25">
      <c r="C12" s="53" t="s">
        <v>168</v>
      </c>
    </row>
    <row r="14" spans="2:13" x14ac:dyDescent="0.25">
      <c r="C14" s="175" t="s">
        <v>148</v>
      </c>
      <c r="D14" s="176"/>
      <c r="E14" s="176"/>
      <c r="F14" s="176"/>
      <c r="G14" s="177"/>
      <c r="H14" s="178">
        <v>0.424789914152018</v>
      </c>
    </row>
    <row r="16" spans="2:13" s="1" customFormat="1" ht="29" x14ac:dyDescent="0.35">
      <c r="C16" s="179" t="s">
        <v>145</v>
      </c>
      <c r="D16" s="179" t="s">
        <v>146</v>
      </c>
      <c r="E16" s="179" t="s">
        <v>147</v>
      </c>
      <c r="F16" s="180" t="s">
        <v>149</v>
      </c>
      <c r="G16" s="180" t="s">
        <v>172</v>
      </c>
      <c r="H16" s="180" t="s">
        <v>150</v>
      </c>
      <c r="I16"/>
      <c r="J16"/>
      <c r="K16"/>
      <c r="L16"/>
    </row>
    <row r="17" spans="3:14" s="1" customFormat="1" ht="14.5" x14ac:dyDescent="0.35">
      <c r="C17" s="76">
        <v>106</v>
      </c>
      <c r="D17" s="76">
        <v>2006</v>
      </c>
      <c r="E17" s="76">
        <v>1</v>
      </c>
      <c r="F17" s="182">
        <v>32644.372461278101</v>
      </c>
      <c r="G17" s="181">
        <v>56064.772532403105</v>
      </c>
      <c r="H17" s="183">
        <f>G17*$H$14</f>
        <v>23815.749910991934</v>
      </c>
      <c r="I17"/>
      <c r="J17"/>
      <c r="K17"/>
      <c r="L17"/>
    </row>
    <row r="18" spans="3:14" s="1" customFormat="1" ht="14.5" x14ac:dyDescent="0.35">
      <c r="C18" s="76">
        <v>107</v>
      </c>
      <c r="D18" s="76">
        <v>2007</v>
      </c>
      <c r="E18" s="76">
        <v>1</v>
      </c>
      <c r="F18" s="182">
        <v>33989.78368583</v>
      </c>
      <c r="G18" s="181">
        <v>63517.878398929992</v>
      </c>
      <c r="H18" s="183">
        <f t="shared" ref="H18:H81" si="0">G18*$H$14</f>
        <v>26981.754112199789</v>
      </c>
      <c r="I18"/>
      <c r="J18"/>
      <c r="K18"/>
      <c r="L18"/>
      <c r="N18" s="173"/>
    </row>
    <row r="19" spans="3:14" s="1" customFormat="1" ht="14.5" x14ac:dyDescent="0.35">
      <c r="C19" s="76">
        <v>108</v>
      </c>
      <c r="D19" s="76">
        <v>2008</v>
      </c>
      <c r="E19" s="76">
        <v>1</v>
      </c>
      <c r="F19" s="182">
        <v>37658.377116216798</v>
      </c>
      <c r="G19" s="181">
        <v>73257.674677991774</v>
      </c>
      <c r="H19" s="183">
        <f t="shared" si="0"/>
        <v>31119.121337440589</v>
      </c>
      <c r="I19"/>
      <c r="J19"/>
      <c r="K19"/>
      <c r="L19"/>
      <c r="N19" s="173"/>
    </row>
    <row r="20" spans="3:14" s="1" customFormat="1" ht="14.5" x14ac:dyDescent="0.35">
      <c r="C20" s="76">
        <v>109</v>
      </c>
      <c r="D20" s="76">
        <v>2009</v>
      </c>
      <c r="E20" s="76">
        <v>1</v>
      </c>
      <c r="F20" s="182">
        <v>39959.378599711999</v>
      </c>
      <c r="G20" s="181">
        <v>77245.919853138039</v>
      </c>
      <c r="H20" s="183">
        <f t="shared" si="0"/>
        <v>32813.287663008174</v>
      </c>
      <c r="I20"/>
      <c r="J20"/>
      <c r="K20"/>
      <c r="L20"/>
      <c r="N20" s="173"/>
    </row>
    <row r="21" spans="3:14" s="1" customFormat="1" ht="14.5" x14ac:dyDescent="0.35">
      <c r="C21" s="76">
        <v>110</v>
      </c>
      <c r="D21" s="76">
        <v>2010</v>
      </c>
      <c r="E21" s="76">
        <v>1</v>
      </c>
      <c r="F21" s="182">
        <v>46087.463131805001</v>
      </c>
      <c r="G21" s="181">
        <v>112661.100837306</v>
      </c>
      <c r="H21" s="183">
        <f t="shared" si="0"/>
        <v>47857.299352951057</v>
      </c>
      <c r="I21"/>
      <c r="J21"/>
      <c r="K21"/>
      <c r="L21"/>
      <c r="N21" s="173"/>
    </row>
    <row r="22" spans="3:14" s="1" customFormat="1" ht="14.5" x14ac:dyDescent="0.35">
      <c r="C22" s="76">
        <v>111</v>
      </c>
      <c r="D22" s="76">
        <v>2011</v>
      </c>
      <c r="E22" s="76">
        <v>1</v>
      </c>
      <c r="F22" s="182">
        <v>53239.636389662104</v>
      </c>
      <c r="G22" s="181">
        <v>125811.06706493892</v>
      </c>
      <c r="H22" s="183">
        <f t="shared" si="0"/>
        <v>53443.272377889181</v>
      </c>
      <c r="I22"/>
      <c r="J22"/>
      <c r="K22"/>
      <c r="L22"/>
      <c r="N22" s="173"/>
    </row>
    <row r="23" spans="3:14" s="1" customFormat="1" ht="14.5" x14ac:dyDescent="0.35">
      <c r="C23" s="76">
        <v>112</v>
      </c>
      <c r="D23" s="76">
        <v>2012</v>
      </c>
      <c r="E23" s="76">
        <v>1</v>
      </c>
      <c r="F23" s="182">
        <v>58764.115947737497</v>
      </c>
      <c r="G23" s="181">
        <v>127802.85086216638</v>
      </c>
      <c r="H23" s="183">
        <f t="shared" si="0"/>
        <v>54289.362046122813</v>
      </c>
      <c r="I23"/>
      <c r="J23"/>
      <c r="K23"/>
      <c r="L23"/>
      <c r="N23" s="173"/>
    </row>
    <row r="24" spans="3:14" s="1" customFormat="1" ht="14.5" x14ac:dyDescent="0.35">
      <c r="C24" s="76">
        <v>113</v>
      </c>
      <c r="D24" s="76">
        <v>2013</v>
      </c>
      <c r="E24" s="76">
        <v>1</v>
      </c>
      <c r="F24" s="182">
        <v>66417.409985292601</v>
      </c>
      <c r="G24" s="181">
        <v>134137.83770553971</v>
      </c>
      <c r="H24" s="183">
        <f t="shared" si="0"/>
        <v>56980.400563473537</v>
      </c>
      <c r="I24"/>
      <c r="J24"/>
      <c r="K24"/>
      <c r="L24"/>
      <c r="N24" s="173"/>
    </row>
    <row r="25" spans="3:14" s="1" customFormat="1" ht="14.5" x14ac:dyDescent="0.35">
      <c r="C25" s="76">
        <v>114</v>
      </c>
      <c r="D25" s="76">
        <v>2014</v>
      </c>
      <c r="E25" s="76">
        <v>1</v>
      </c>
      <c r="F25" s="182">
        <v>77223.594865233899</v>
      </c>
      <c r="G25" s="181">
        <v>162493.83049920877</v>
      </c>
      <c r="H25" s="183">
        <f t="shared" si="0"/>
        <v>69025.740307991451</v>
      </c>
      <c r="I25"/>
      <c r="J25"/>
      <c r="K25"/>
      <c r="L25"/>
      <c r="N25" s="173"/>
    </row>
    <row r="26" spans="3:14" s="1" customFormat="1" ht="14.5" x14ac:dyDescent="0.35">
      <c r="C26" s="76">
        <v>115</v>
      </c>
      <c r="D26" s="76">
        <v>2015</v>
      </c>
      <c r="E26" s="76">
        <v>1</v>
      </c>
      <c r="F26" s="182">
        <v>73579.8426807426</v>
      </c>
      <c r="G26" s="181">
        <v>143631.5476807426</v>
      </c>
      <c r="H26" s="183">
        <f t="shared" si="0"/>
        <v>61013.232808824127</v>
      </c>
      <c r="I26"/>
      <c r="J26"/>
      <c r="K26"/>
      <c r="L26"/>
      <c r="N26" s="173"/>
    </row>
    <row r="27" spans="3:14" s="1" customFormat="1" ht="14.5" x14ac:dyDescent="0.35">
      <c r="C27" s="76">
        <v>116</v>
      </c>
      <c r="D27" s="76">
        <v>2016</v>
      </c>
      <c r="E27" s="76">
        <v>1</v>
      </c>
      <c r="F27" s="182">
        <v>40562.178874851801</v>
      </c>
      <c r="G27" s="181">
        <v>101499.9958748518</v>
      </c>
      <c r="H27" s="183">
        <f t="shared" si="0"/>
        <v>43116.174534108475</v>
      </c>
      <c r="I27"/>
      <c r="J27"/>
      <c r="K27"/>
      <c r="L27"/>
      <c r="N27" s="173"/>
    </row>
    <row r="28" spans="3:14" s="1" customFormat="1" ht="14.5" x14ac:dyDescent="0.35">
      <c r="C28" s="76">
        <v>117</v>
      </c>
      <c r="D28" s="76">
        <v>2017</v>
      </c>
      <c r="E28" s="76">
        <v>1</v>
      </c>
      <c r="F28" s="182">
        <v>46909.595999999998</v>
      </c>
      <c r="G28" s="181">
        <v>101836.23300000001</v>
      </c>
      <c r="H28" s="183">
        <f t="shared" si="0"/>
        <v>43259.004673634903</v>
      </c>
      <c r="I28"/>
      <c r="J28"/>
      <c r="K28"/>
      <c r="L28"/>
      <c r="N28" s="173"/>
    </row>
    <row r="29" spans="3:14" s="1" customFormat="1" ht="14.5" x14ac:dyDescent="0.35">
      <c r="C29" s="76">
        <v>118</v>
      </c>
      <c r="D29" s="76">
        <v>2018</v>
      </c>
      <c r="E29" s="76">
        <v>1</v>
      </c>
      <c r="F29" s="182">
        <v>55849.335000000006</v>
      </c>
      <c r="G29" s="181">
        <v>128493.94</v>
      </c>
      <c r="H29" s="183">
        <f t="shared" si="0"/>
        <v>54582.929741654552</v>
      </c>
      <c r="I29"/>
      <c r="J29"/>
      <c r="K29"/>
      <c r="L29"/>
      <c r="N29" s="173"/>
    </row>
    <row r="30" spans="3:14" s="1" customFormat="1" ht="14.5" x14ac:dyDescent="0.35">
      <c r="C30" s="76">
        <v>119</v>
      </c>
      <c r="D30" s="76">
        <v>2019</v>
      </c>
      <c r="E30" s="76">
        <v>1</v>
      </c>
      <c r="F30" s="182">
        <v>55021.766000000003</v>
      </c>
      <c r="G30" s="181">
        <v>125062.49</v>
      </c>
      <c r="H30" s="183">
        <f t="shared" si="0"/>
        <v>53125.284390737608</v>
      </c>
      <c r="I30"/>
      <c r="J30"/>
      <c r="K30"/>
      <c r="L30"/>
      <c r="N30" s="173"/>
    </row>
    <row r="31" spans="3:14" s="1" customFormat="1" ht="14.5" x14ac:dyDescent="0.35">
      <c r="C31" s="76">
        <v>206</v>
      </c>
      <c r="D31" s="76">
        <v>2006</v>
      </c>
      <c r="E31" s="76">
        <v>1</v>
      </c>
      <c r="F31" s="182">
        <v>357834.496219308</v>
      </c>
      <c r="G31" s="181">
        <v>936882.72321930795</v>
      </c>
      <c r="H31" s="183">
        <f t="shared" si="0"/>
        <v>397978.33156683866</v>
      </c>
      <c r="I31"/>
      <c r="J31"/>
      <c r="K31"/>
      <c r="L31"/>
      <c r="N31" s="173"/>
    </row>
    <row r="32" spans="3:14" s="1" customFormat="1" ht="14.5" x14ac:dyDescent="0.35">
      <c r="C32" s="76">
        <v>207</v>
      </c>
      <c r="D32" s="76">
        <v>2007</v>
      </c>
      <c r="E32" s="76">
        <v>1</v>
      </c>
      <c r="F32" s="182">
        <v>316522.99188389303</v>
      </c>
      <c r="G32" s="181">
        <v>1081995.404883893</v>
      </c>
      <c r="H32" s="183">
        <f t="shared" si="0"/>
        <v>459620.73515350686</v>
      </c>
      <c r="I32"/>
      <c r="J32"/>
      <c r="K32"/>
      <c r="L32"/>
      <c r="N32" s="173"/>
    </row>
    <row r="33" spans="3:14" s="1" customFormat="1" ht="14.5" x14ac:dyDescent="0.35">
      <c r="C33" s="76">
        <v>208</v>
      </c>
      <c r="D33" s="76">
        <v>2008</v>
      </c>
      <c r="E33" s="76">
        <v>1</v>
      </c>
      <c r="F33" s="182">
        <v>467809.12217390706</v>
      </c>
      <c r="G33" s="181">
        <v>1391301.4681739071</v>
      </c>
      <c r="H33" s="183">
        <f t="shared" si="0"/>
        <v>591010.83122517064</v>
      </c>
      <c r="I33"/>
      <c r="J33"/>
      <c r="K33"/>
      <c r="L33"/>
      <c r="N33" s="173"/>
    </row>
    <row r="34" spans="3:14" s="1" customFormat="1" ht="14.5" x14ac:dyDescent="0.35">
      <c r="C34" s="76">
        <v>209</v>
      </c>
      <c r="D34" s="76">
        <v>2009</v>
      </c>
      <c r="E34" s="76">
        <v>1</v>
      </c>
      <c r="F34" s="182">
        <v>441027.33814656798</v>
      </c>
      <c r="G34" s="181">
        <v>1546408.542146568</v>
      </c>
      <c r="H34" s="183">
        <f t="shared" si="0"/>
        <v>656898.75186238787</v>
      </c>
      <c r="I34"/>
      <c r="J34"/>
      <c r="K34"/>
      <c r="L34"/>
      <c r="N34" s="173"/>
    </row>
    <row r="35" spans="3:14" s="1" customFormat="1" ht="14.5" x14ac:dyDescent="0.35">
      <c r="C35" s="76">
        <v>210</v>
      </c>
      <c r="D35" s="76">
        <v>2010</v>
      </c>
      <c r="E35" s="76">
        <v>1</v>
      </c>
      <c r="F35" s="182">
        <v>511184.26885726303</v>
      </c>
      <c r="G35" s="181">
        <v>1843328.9398572631</v>
      </c>
      <c r="H35" s="183">
        <f t="shared" si="0"/>
        <v>783027.54211589717</v>
      </c>
      <c r="I35"/>
      <c r="J35"/>
      <c r="K35"/>
      <c r="L35"/>
      <c r="N35" s="173"/>
    </row>
    <row r="36" spans="3:14" s="1" customFormat="1" ht="14.5" x14ac:dyDescent="0.35">
      <c r="C36" s="76">
        <v>211</v>
      </c>
      <c r="D36" s="76">
        <v>2011</v>
      </c>
      <c r="E36" s="76">
        <v>1</v>
      </c>
      <c r="F36" s="182">
        <v>506684.85404769296</v>
      </c>
      <c r="G36" s="181">
        <v>2048506.474047693</v>
      </c>
      <c r="H36" s="183">
        <f t="shared" si="0"/>
        <v>870184.88925057254</v>
      </c>
      <c r="I36"/>
      <c r="J36"/>
      <c r="K36"/>
      <c r="L36"/>
      <c r="N36" s="173"/>
    </row>
    <row r="37" spans="3:14" s="1" customFormat="1" ht="14.5" x14ac:dyDescent="0.35">
      <c r="C37" s="76">
        <v>212</v>
      </c>
      <c r="D37" s="76">
        <v>2012</v>
      </c>
      <c r="E37" s="76">
        <v>1</v>
      </c>
      <c r="F37" s="182">
        <v>577601.0955064391</v>
      </c>
      <c r="G37" s="181">
        <v>2282113.7075064392</v>
      </c>
      <c r="H37" s="183">
        <f t="shared" si="0"/>
        <v>969418.88589680381</v>
      </c>
      <c r="I37"/>
      <c r="J37"/>
      <c r="K37"/>
      <c r="L37"/>
      <c r="N37" s="173"/>
    </row>
    <row r="38" spans="3:14" s="1" customFormat="1" ht="14.5" x14ac:dyDescent="0.35">
      <c r="C38" s="76">
        <v>213</v>
      </c>
      <c r="D38" s="76">
        <v>2013</v>
      </c>
      <c r="E38" s="76">
        <v>1</v>
      </c>
      <c r="F38" s="182">
        <v>471121.68333051505</v>
      </c>
      <c r="G38" s="181">
        <v>1717762.7713305149</v>
      </c>
      <c r="H38" s="183">
        <f t="shared" si="0"/>
        <v>729688.30016702192</v>
      </c>
      <c r="I38"/>
      <c r="J38"/>
      <c r="K38"/>
      <c r="L38"/>
      <c r="N38" s="173"/>
    </row>
    <row r="39" spans="3:14" s="1" customFormat="1" ht="14.5" x14ac:dyDescent="0.35">
      <c r="C39" s="76">
        <v>214</v>
      </c>
      <c r="D39" s="76">
        <v>2014</v>
      </c>
      <c r="E39" s="76">
        <v>1</v>
      </c>
      <c r="F39" s="182">
        <v>539569.59182207996</v>
      </c>
      <c r="G39" s="181">
        <v>1647370.3888220801</v>
      </c>
      <c r="H39" s="183">
        <f t="shared" si="0"/>
        <v>699786.32604430791</v>
      </c>
      <c r="I39"/>
      <c r="J39"/>
      <c r="K39"/>
      <c r="L39"/>
      <c r="N39" s="173"/>
    </row>
    <row r="40" spans="3:14" s="1" customFormat="1" ht="14.5" x14ac:dyDescent="0.35">
      <c r="C40" s="76">
        <v>215</v>
      </c>
      <c r="D40" s="76">
        <v>2015</v>
      </c>
      <c r="E40" s="76">
        <v>1</v>
      </c>
      <c r="F40" s="182">
        <v>647227.97580349504</v>
      </c>
      <c r="G40" s="181">
        <v>1255341.8048558589</v>
      </c>
      <c r="H40" s="183">
        <f t="shared" si="0"/>
        <v>533256.53751615959</v>
      </c>
      <c r="I40"/>
      <c r="J40"/>
      <c r="K40"/>
      <c r="L40"/>
      <c r="N40" s="173"/>
    </row>
    <row r="41" spans="3:14" s="1" customFormat="1" ht="14.5" x14ac:dyDescent="0.35">
      <c r="C41" s="76">
        <v>216</v>
      </c>
      <c r="D41" s="76">
        <v>2016</v>
      </c>
      <c r="E41" s="76">
        <v>1</v>
      </c>
      <c r="F41" s="182">
        <v>588178.86646726506</v>
      </c>
      <c r="G41" s="181">
        <v>1077733.8033098807</v>
      </c>
      <c r="H41" s="183">
        <f t="shared" si="0"/>
        <v>457810.44978673203</v>
      </c>
      <c r="I41"/>
      <c r="J41"/>
      <c r="K41"/>
      <c r="L41"/>
      <c r="N41" s="173"/>
    </row>
    <row r="42" spans="3:14" s="1" customFormat="1" ht="14.5" x14ac:dyDescent="0.35">
      <c r="C42" s="76">
        <v>217</v>
      </c>
      <c r="D42" s="76">
        <v>2017</v>
      </c>
      <c r="E42" s="76">
        <v>1</v>
      </c>
      <c r="F42" s="182">
        <v>529666.46092261001</v>
      </c>
      <c r="G42" s="181">
        <v>1000142.7064658883</v>
      </c>
      <c r="H42" s="183">
        <f t="shared" si="0"/>
        <v>424850.53441941162</v>
      </c>
      <c r="I42"/>
      <c r="J42"/>
      <c r="K42"/>
      <c r="L42"/>
      <c r="N42" s="173"/>
    </row>
    <row r="43" spans="3:14" s="1" customFormat="1" ht="14.5" x14ac:dyDescent="0.35">
      <c r="C43" s="76">
        <v>218</v>
      </c>
      <c r="D43" s="76">
        <v>2018</v>
      </c>
      <c r="E43" s="76">
        <v>1</v>
      </c>
      <c r="F43" s="182">
        <v>463137.071</v>
      </c>
      <c r="G43" s="181">
        <v>1104374.1558699999</v>
      </c>
      <c r="H43" s="183">
        <f t="shared" si="0"/>
        <v>469127.0028637246</v>
      </c>
      <c r="I43"/>
      <c r="J43"/>
      <c r="K43"/>
      <c r="L43"/>
      <c r="N43" s="173"/>
    </row>
    <row r="44" spans="3:14" s="1" customFormat="1" ht="14.5" x14ac:dyDescent="0.35">
      <c r="C44" s="76">
        <v>219</v>
      </c>
      <c r="D44" s="76">
        <v>2019</v>
      </c>
      <c r="E44" s="76">
        <v>1</v>
      </c>
      <c r="F44" s="182">
        <v>445750.647</v>
      </c>
      <c r="G44" s="181">
        <v>1354313.3898</v>
      </c>
      <c r="H44" s="183">
        <f t="shared" si="0"/>
        <v>575298.66858807055</v>
      </c>
      <c r="I44"/>
      <c r="J44"/>
      <c r="K44"/>
      <c r="L44"/>
      <c r="N44" s="173"/>
    </row>
    <row r="45" spans="3:14" s="1" customFormat="1" ht="14.5" x14ac:dyDescent="0.35">
      <c r="C45" s="76">
        <v>306</v>
      </c>
      <c r="D45" s="76">
        <v>2006</v>
      </c>
      <c r="E45" s="76">
        <v>1</v>
      </c>
      <c r="F45" s="182">
        <v>26412.589009526593</v>
      </c>
      <c r="G45" s="181">
        <v>95317.503287599509</v>
      </c>
      <c r="H45" s="183">
        <f t="shared" si="0"/>
        <v>40489.914038724091</v>
      </c>
      <c r="I45"/>
      <c r="J45"/>
      <c r="K45"/>
      <c r="L45"/>
      <c r="N45" s="173"/>
    </row>
    <row r="46" spans="3:14" s="1" customFormat="1" ht="14.5" x14ac:dyDescent="0.35">
      <c r="C46" s="76">
        <v>307</v>
      </c>
      <c r="D46" s="76">
        <v>2007</v>
      </c>
      <c r="E46" s="76">
        <v>1</v>
      </c>
      <c r="F46" s="182">
        <v>31329.710649259305</v>
      </c>
      <c r="G46" s="181">
        <v>92276.671651574885</v>
      </c>
      <c r="H46" s="183">
        <f t="shared" si="0"/>
        <v>39198.199429106447</v>
      </c>
      <c r="I46"/>
      <c r="J46"/>
      <c r="K46"/>
      <c r="L46"/>
      <c r="N46" s="173"/>
    </row>
    <row r="47" spans="3:14" s="1" customFormat="1" ht="14.5" x14ac:dyDescent="0.35">
      <c r="C47" s="76">
        <v>308</v>
      </c>
      <c r="D47" s="76">
        <v>2008</v>
      </c>
      <c r="E47" s="76">
        <v>1</v>
      </c>
      <c r="F47" s="182">
        <v>31120.531390019252</v>
      </c>
      <c r="G47" s="181">
        <v>97011.199563626084</v>
      </c>
      <c r="H47" s="183">
        <f t="shared" si="0"/>
        <v>41209.379134417009</v>
      </c>
      <c r="I47"/>
      <c r="J47"/>
      <c r="K47"/>
      <c r="L47"/>
      <c r="N47" s="173"/>
    </row>
    <row r="48" spans="3:14" s="1" customFormat="1" ht="14.5" x14ac:dyDescent="0.35">
      <c r="C48" s="76">
        <v>309</v>
      </c>
      <c r="D48" s="76">
        <v>2009</v>
      </c>
      <c r="E48" s="76">
        <v>1</v>
      </c>
      <c r="F48" s="182">
        <v>37629.540867755153</v>
      </c>
      <c r="G48" s="181">
        <v>116737.3628438446</v>
      </c>
      <c r="H48" s="183">
        <f t="shared" si="0"/>
        <v>49588.854340769722</v>
      </c>
      <c r="I48"/>
      <c r="J48"/>
      <c r="K48"/>
      <c r="L48"/>
      <c r="N48" s="173"/>
    </row>
    <row r="49" spans="3:14" s="1" customFormat="1" ht="14.5" x14ac:dyDescent="0.35">
      <c r="C49" s="76">
        <v>310</v>
      </c>
      <c r="D49" s="76">
        <v>2010</v>
      </c>
      <c r="E49" s="76">
        <v>1</v>
      </c>
      <c r="F49" s="182">
        <v>42279.50798262329</v>
      </c>
      <c r="G49" s="181">
        <v>147742.05941415633</v>
      </c>
      <c r="H49" s="183">
        <f t="shared" si="0"/>
        <v>62759.336735181809</v>
      </c>
      <c r="I49"/>
      <c r="J49"/>
      <c r="K49"/>
      <c r="L49"/>
      <c r="N49" s="173"/>
    </row>
    <row r="50" spans="3:14" s="1" customFormat="1" ht="14.5" x14ac:dyDescent="0.35">
      <c r="C50" s="76">
        <v>311</v>
      </c>
      <c r="D50" s="76">
        <v>2011</v>
      </c>
      <c r="E50" s="76">
        <v>1</v>
      </c>
      <c r="F50" s="182">
        <v>40682.50401969807</v>
      </c>
      <c r="G50" s="181">
        <v>157750.09060877192</v>
      </c>
      <c r="H50" s="183">
        <f t="shared" si="0"/>
        <v>67010.64744717328</v>
      </c>
      <c r="I50"/>
      <c r="J50"/>
      <c r="K50"/>
      <c r="L50"/>
      <c r="N50" s="173"/>
    </row>
    <row r="51" spans="3:14" s="1" customFormat="1" ht="14.5" x14ac:dyDescent="0.35">
      <c r="C51" s="76">
        <v>312</v>
      </c>
      <c r="D51" s="76">
        <v>2012</v>
      </c>
      <c r="E51" s="76">
        <v>1</v>
      </c>
      <c r="F51" s="182">
        <v>52808.972782802135</v>
      </c>
      <c r="G51" s="181">
        <v>150796.89659337245</v>
      </c>
      <c r="H51" s="183">
        <f t="shared" si="0"/>
        <v>64057.000758289418</v>
      </c>
      <c r="I51"/>
      <c r="J51"/>
      <c r="K51"/>
      <c r="L51"/>
      <c r="N51" s="173"/>
    </row>
    <row r="52" spans="3:14" s="1" customFormat="1" ht="14.5" x14ac:dyDescent="0.35">
      <c r="C52" s="76">
        <v>313</v>
      </c>
      <c r="D52" s="76">
        <v>2013</v>
      </c>
      <c r="E52" s="76">
        <v>1</v>
      </c>
      <c r="F52" s="182">
        <v>52531.24811007821</v>
      </c>
      <c r="G52" s="181">
        <v>168799.60263425086</v>
      </c>
      <c r="H52" s="183">
        <f t="shared" si="0"/>
        <v>71704.368711898176</v>
      </c>
      <c r="I52"/>
      <c r="J52"/>
      <c r="K52"/>
      <c r="L52"/>
      <c r="N52" s="173"/>
    </row>
    <row r="53" spans="3:14" s="1" customFormat="1" ht="14.5" x14ac:dyDescent="0.35">
      <c r="C53" s="76">
        <v>314</v>
      </c>
      <c r="D53" s="76">
        <v>2014</v>
      </c>
      <c r="E53" s="76">
        <v>1</v>
      </c>
      <c r="F53" s="182">
        <v>55150.625983108068</v>
      </c>
      <c r="G53" s="181">
        <v>185190.54072661005</v>
      </c>
      <c r="H53" s="183">
        <f t="shared" si="0"/>
        <v>78667.073897022477</v>
      </c>
      <c r="I53"/>
      <c r="J53"/>
      <c r="K53"/>
      <c r="L53"/>
      <c r="N53" s="173"/>
    </row>
    <row r="54" spans="3:14" s="1" customFormat="1" ht="14.5" x14ac:dyDescent="0.35">
      <c r="C54" s="76">
        <v>315</v>
      </c>
      <c r="D54" s="76">
        <v>2015</v>
      </c>
      <c r="E54" s="76">
        <v>1</v>
      </c>
      <c r="F54" s="182">
        <v>54114.799686988088</v>
      </c>
      <c r="G54" s="181">
        <v>178606.44319197926</v>
      </c>
      <c r="H54" s="183">
        <f t="shared" si="0"/>
        <v>75870.215670518141</v>
      </c>
      <c r="I54"/>
      <c r="J54"/>
      <c r="K54"/>
      <c r="L54"/>
      <c r="N54" s="173"/>
    </row>
    <row r="55" spans="3:14" s="1" customFormat="1" ht="14.5" x14ac:dyDescent="0.35">
      <c r="C55" s="76">
        <v>316</v>
      </c>
      <c r="D55" s="76">
        <v>2016</v>
      </c>
      <c r="E55" s="76">
        <v>1</v>
      </c>
      <c r="F55" s="182">
        <v>55415.462309842202</v>
      </c>
      <c r="G55" s="181">
        <v>157279.78130984219</v>
      </c>
      <c r="H55" s="183">
        <f t="shared" si="0"/>
        <v>66810.864800456024</v>
      </c>
      <c r="I55"/>
      <c r="J55"/>
      <c r="K55"/>
      <c r="L55"/>
      <c r="N55" s="173"/>
    </row>
    <row r="56" spans="3:14" s="1" customFormat="1" ht="14.5" x14ac:dyDescent="0.35">
      <c r="C56" s="76">
        <v>317</v>
      </c>
      <c r="D56" s="76">
        <v>2017</v>
      </c>
      <c r="E56" s="76">
        <v>1</v>
      </c>
      <c r="F56" s="182">
        <v>54481.132864804596</v>
      </c>
      <c r="G56" s="181">
        <v>146776.09516876977</v>
      </c>
      <c r="H56" s="183">
        <f t="shared" si="0"/>
        <v>62349.004866310133</v>
      </c>
      <c r="I56"/>
      <c r="J56"/>
      <c r="K56"/>
      <c r="L56"/>
      <c r="N56" s="173"/>
    </row>
    <row r="57" spans="3:14" s="1" customFormat="1" ht="14.5" x14ac:dyDescent="0.35">
      <c r="C57" s="76">
        <v>318</v>
      </c>
      <c r="D57" s="76">
        <v>2018</v>
      </c>
      <c r="E57" s="76">
        <v>1</v>
      </c>
      <c r="F57" s="182">
        <v>48229.038177939598</v>
      </c>
      <c r="G57" s="181">
        <v>133143.56892826306</v>
      </c>
      <c r="H57" s="183">
        <f t="shared" si="0"/>
        <v>56558.045214930156</v>
      </c>
      <c r="I57"/>
      <c r="J57"/>
      <c r="K57"/>
      <c r="L57"/>
      <c r="N57" s="173"/>
    </row>
    <row r="58" spans="3:14" s="1" customFormat="1" ht="14.5" x14ac:dyDescent="0.35">
      <c r="C58" s="76">
        <v>319</v>
      </c>
      <c r="D58" s="76">
        <v>2019</v>
      </c>
      <c r="E58" s="76">
        <v>1</v>
      </c>
      <c r="F58" s="182">
        <v>55345.957048282602</v>
      </c>
      <c r="G58" s="181">
        <v>151367.11904828259</v>
      </c>
      <c r="H58" s="183">
        <f t="shared" si="0"/>
        <v>64299.225505958253</v>
      </c>
      <c r="I58"/>
      <c r="J58"/>
      <c r="K58"/>
      <c r="L58"/>
      <c r="N58" s="173"/>
    </row>
    <row r="59" spans="3:14" s="1" customFormat="1" ht="14.5" x14ac:dyDescent="0.35">
      <c r="C59" s="76">
        <v>406</v>
      </c>
      <c r="D59" s="76">
        <v>2006</v>
      </c>
      <c r="E59" s="76">
        <v>1</v>
      </c>
      <c r="F59" s="182">
        <v>156824.91789216301</v>
      </c>
      <c r="G59" s="181">
        <v>493220.80771829479</v>
      </c>
      <c r="H59" s="183">
        <f t="shared" si="0"/>
        <v>209515.22456864343</v>
      </c>
      <c r="I59"/>
      <c r="J59"/>
      <c r="K59"/>
      <c r="L59"/>
      <c r="N59" s="173"/>
    </row>
    <row r="60" spans="3:14" s="1" customFormat="1" ht="14.5" x14ac:dyDescent="0.35">
      <c r="C60" s="76">
        <v>407</v>
      </c>
      <c r="D60" s="76">
        <v>2007</v>
      </c>
      <c r="E60" s="76">
        <v>1</v>
      </c>
      <c r="F60" s="182">
        <v>176841.394432931</v>
      </c>
      <c r="G60" s="181">
        <v>556969.83614972164</v>
      </c>
      <c r="H60" s="183">
        <f t="shared" si="0"/>
        <v>236595.16888330379</v>
      </c>
      <c r="I60"/>
      <c r="J60"/>
      <c r="K60"/>
      <c r="L60"/>
      <c r="N60" s="173"/>
    </row>
    <row r="61" spans="3:14" s="1" customFormat="1" ht="14.5" x14ac:dyDescent="0.35">
      <c r="C61" s="76">
        <v>408</v>
      </c>
      <c r="D61" s="76">
        <v>2008</v>
      </c>
      <c r="E61" s="76">
        <v>1</v>
      </c>
      <c r="F61" s="182">
        <v>224408.06001672801</v>
      </c>
      <c r="G61" s="181">
        <v>598091.28645370563</v>
      </c>
      <c r="H61" s="183">
        <f t="shared" si="0"/>
        <v>254063.14622773963</v>
      </c>
      <c r="I61"/>
      <c r="J61"/>
      <c r="K61"/>
      <c r="L61"/>
      <c r="N61" s="173"/>
    </row>
    <row r="62" spans="3:14" s="1" customFormat="1" ht="14.5" x14ac:dyDescent="0.35">
      <c r="C62" s="76">
        <v>409</v>
      </c>
      <c r="D62" s="76">
        <v>2009</v>
      </c>
      <c r="E62" s="76">
        <v>1</v>
      </c>
      <c r="F62" s="182">
        <v>214131.30026509601</v>
      </c>
      <c r="G62" s="181">
        <v>678168.37983518164</v>
      </c>
      <c r="H62" s="183">
        <f t="shared" si="0"/>
        <v>288079.08785079996</v>
      </c>
      <c r="I62"/>
      <c r="J62"/>
      <c r="K62"/>
      <c r="L62"/>
      <c r="N62" s="173"/>
    </row>
    <row r="63" spans="3:14" s="1" customFormat="1" ht="14.5" x14ac:dyDescent="0.35">
      <c r="C63" s="76">
        <v>410</v>
      </c>
      <c r="D63" s="76">
        <v>2010</v>
      </c>
      <c r="E63" s="76">
        <v>1</v>
      </c>
      <c r="F63" s="182">
        <v>210431.13798086398</v>
      </c>
      <c r="G63" s="181">
        <v>631276.60514717293</v>
      </c>
      <c r="H63" s="183">
        <f t="shared" si="0"/>
        <v>268159.93490664498</v>
      </c>
      <c r="I63"/>
      <c r="J63"/>
      <c r="K63"/>
      <c r="L63"/>
      <c r="N63" s="173"/>
    </row>
    <row r="64" spans="3:14" s="1" customFormat="1" ht="14.5" x14ac:dyDescent="0.35">
      <c r="C64" s="76">
        <v>411</v>
      </c>
      <c r="D64" s="76">
        <v>2011</v>
      </c>
      <c r="E64" s="76">
        <v>1</v>
      </c>
      <c r="F64" s="182">
        <v>229554.29065953402</v>
      </c>
      <c r="G64" s="181">
        <v>736103.97685061616</v>
      </c>
      <c r="H64" s="183">
        <f t="shared" si="0"/>
        <v>312689.54513333226</v>
      </c>
      <c r="I64"/>
      <c r="J64"/>
      <c r="K64"/>
      <c r="L64"/>
      <c r="N64" s="173"/>
    </row>
    <row r="65" spans="3:14" s="1" customFormat="1" ht="14.5" x14ac:dyDescent="0.35">
      <c r="C65" s="76">
        <v>412</v>
      </c>
      <c r="D65" s="76">
        <v>2012</v>
      </c>
      <c r="E65" s="76">
        <v>1</v>
      </c>
      <c r="F65" s="182">
        <v>240838.12724750797</v>
      </c>
      <c r="G65" s="181">
        <v>885541.82674791408</v>
      </c>
      <c r="H65" s="183">
        <f t="shared" si="0"/>
        <v>376169.23656226764</v>
      </c>
      <c r="I65"/>
      <c r="J65"/>
      <c r="K65"/>
      <c r="L65"/>
      <c r="N65" s="173"/>
    </row>
    <row r="66" spans="3:14" s="1" customFormat="1" ht="14.5" x14ac:dyDescent="0.35">
      <c r="C66" s="76">
        <v>413</v>
      </c>
      <c r="D66" s="76">
        <v>2013</v>
      </c>
      <c r="E66" s="76">
        <v>1</v>
      </c>
      <c r="F66" s="182">
        <v>222645.27398422701</v>
      </c>
      <c r="G66" s="181">
        <v>810761.45630390302</v>
      </c>
      <c r="H66" s="183">
        <f t="shared" si="0"/>
        <v>344403.28942110005</v>
      </c>
      <c r="I66"/>
      <c r="J66"/>
      <c r="K66"/>
      <c r="L66"/>
      <c r="N66" s="173"/>
    </row>
    <row r="67" spans="3:14" s="1" customFormat="1" ht="14.5" x14ac:dyDescent="0.35">
      <c r="C67" s="76">
        <v>414</v>
      </c>
      <c r="D67" s="76">
        <v>2014</v>
      </c>
      <c r="E67" s="76">
        <v>1</v>
      </c>
      <c r="F67" s="182">
        <v>258321.99304766802</v>
      </c>
      <c r="G67" s="181">
        <v>712924.78700111806</v>
      </c>
      <c r="H67" s="183">
        <f t="shared" si="0"/>
        <v>302843.25906705065</v>
      </c>
      <c r="I67"/>
      <c r="J67"/>
      <c r="K67"/>
      <c r="L67"/>
      <c r="N67" s="173"/>
    </row>
    <row r="68" spans="3:14" s="1" customFormat="1" ht="14.5" x14ac:dyDescent="0.35">
      <c r="C68" s="76">
        <v>415</v>
      </c>
      <c r="D68" s="76">
        <v>2015</v>
      </c>
      <c r="E68" s="76">
        <v>1</v>
      </c>
      <c r="F68" s="182">
        <v>270954.43519109796</v>
      </c>
      <c r="G68" s="181">
        <v>645879.84164587583</v>
      </c>
      <c r="H68" s="183">
        <f t="shared" si="0"/>
        <v>274363.2424852706</v>
      </c>
      <c r="I68"/>
      <c r="J68"/>
      <c r="K68"/>
      <c r="L68"/>
      <c r="N68" s="173"/>
    </row>
    <row r="69" spans="3:14" s="1" customFormat="1" ht="14.5" x14ac:dyDescent="0.35">
      <c r="C69" s="76">
        <v>416</v>
      </c>
      <c r="D69" s="76">
        <v>2016</v>
      </c>
      <c r="E69" s="76">
        <v>1</v>
      </c>
      <c r="F69" s="182">
        <v>295663.49812986702</v>
      </c>
      <c r="G69" s="181">
        <v>549511.13880755787</v>
      </c>
      <c r="H69" s="183">
        <f t="shared" si="0"/>
        <v>233426.78947964017</v>
      </c>
      <c r="I69"/>
      <c r="J69"/>
      <c r="K69"/>
      <c r="L69"/>
      <c r="N69" s="173"/>
    </row>
    <row r="70" spans="3:14" s="1" customFormat="1" ht="14.5" x14ac:dyDescent="0.35">
      <c r="C70" s="76">
        <v>417</v>
      </c>
      <c r="D70" s="76">
        <v>2017</v>
      </c>
      <c r="E70" s="76">
        <v>1</v>
      </c>
      <c r="F70" s="182">
        <v>276143.80499999999</v>
      </c>
      <c r="G70" s="181">
        <v>478797.0961057893</v>
      </c>
      <c r="H70" s="183">
        <f t="shared" si="0"/>
        <v>203388.17735101376</v>
      </c>
      <c r="I70"/>
      <c r="J70"/>
      <c r="K70"/>
      <c r="L70"/>
      <c r="N70" s="173"/>
    </row>
    <row r="71" spans="3:14" s="1" customFormat="1" ht="14.5" x14ac:dyDescent="0.35">
      <c r="C71" s="76">
        <v>418</v>
      </c>
      <c r="D71" s="76">
        <v>2018</v>
      </c>
      <c r="E71" s="76">
        <v>1</v>
      </c>
      <c r="F71" s="182">
        <v>257322.89818438003</v>
      </c>
      <c r="G71" s="181">
        <v>617710.47424574639</v>
      </c>
      <c r="H71" s="183">
        <f t="shared" si="0"/>
        <v>262397.17932565295</v>
      </c>
      <c r="I71"/>
      <c r="J71"/>
      <c r="K71"/>
      <c r="L71"/>
      <c r="N71" s="173"/>
    </row>
    <row r="72" spans="3:14" s="1" customFormat="1" ht="14.5" x14ac:dyDescent="0.35">
      <c r="C72" s="76">
        <v>419</v>
      </c>
      <c r="D72" s="76">
        <v>2019</v>
      </c>
      <c r="E72" s="76">
        <v>1</v>
      </c>
      <c r="F72" s="182">
        <v>248955.63635370001</v>
      </c>
      <c r="G72" s="181">
        <v>674298.37580148503</v>
      </c>
      <c r="H72" s="183">
        <f t="shared" si="0"/>
        <v>286435.14916955802</v>
      </c>
      <c r="I72"/>
      <c r="J72"/>
      <c r="K72"/>
      <c r="L72"/>
      <c r="N72" s="173"/>
    </row>
    <row r="73" spans="3:14" s="1" customFormat="1" ht="14.5" x14ac:dyDescent="0.35">
      <c r="C73" s="76">
        <v>506</v>
      </c>
      <c r="D73" s="76">
        <v>2006</v>
      </c>
      <c r="E73" s="76">
        <v>1</v>
      </c>
      <c r="F73" s="182">
        <v>189286.786515969</v>
      </c>
      <c r="G73" s="181">
        <v>758431.05295576667</v>
      </c>
      <c r="H73" s="183">
        <f t="shared" si="0"/>
        <v>322173.86187530472</v>
      </c>
      <c r="I73"/>
      <c r="J73"/>
      <c r="K73"/>
      <c r="L73"/>
      <c r="N73" s="173"/>
    </row>
    <row r="74" spans="3:14" s="1" customFormat="1" ht="14.5" x14ac:dyDescent="0.35">
      <c r="C74" s="76">
        <v>507</v>
      </c>
      <c r="D74" s="76">
        <v>2007</v>
      </c>
      <c r="E74" s="76">
        <v>1</v>
      </c>
      <c r="F74" s="182">
        <v>229999.82498122202</v>
      </c>
      <c r="G74" s="181">
        <v>762370.11228193413</v>
      </c>
      <c r="H74" s="183">
        <f t="shared" si="0"/>
        <v>323847.13454830711</v>
      </c>
      <c r="I74"/>
      <c r="J74"/>
      <c r="K74"/>
      <c r="L74"/>
      <c r="N74" s="173"/>
    </row>
    <row r="75" spans="3:14" s="1" customFormat="1" ht="14.5" x14ac:dyDescent="0.35">
      <c r="C75" s="76">
        <v>508</v>
      </c>
      <c r="D75" s="76">
        <v>2008</v>
      </c>
      <c r="E75" s="76">
        <v>1</v>
      </c>
      <c r="F75" s="182">
        <v>249220.28103108701</v>
      </c>
      <c r="G75" s="181">
        <v>719829.83322824677</v>
      </c>
      <c r="H75" s="183">
        <f t="shared" si="0"/>
        <v>305776.4530610884</v>
      </c>
      <c r="I75"/>
      <c r="J75"/>
      <c r="K75"/>
      <c r="L75"/>
      <c r="N75" s="173"/>
    </row>
    <row r="76" spans="3:14" s="1" customFormat="1" ht="14.5" x14ac:dyDescent="0.35">
      <c r="C76" s="76">
        <v>509</v>
      </c>
      <c r="D76" s="76">
        <v>2009</v>
      </c>
      <c r="E76" s="76">
        <v>1</v>
      </c>
      <c r="F76" s="182">
        <v>269392.65438000002</v>
      </c>
      <c r="G76" s="181">
        <v>901582.61226572678</v>
      </c>
      <c r="H76" s="183">
        <f t="shared" si="0"/>
        <v>382983.20046531019</v>
      </c>
      <c r="I76"/>
      <c r="J76"/>
      <c r="K76"/>
      <c r="L76"/>
      <c r="N76" s="173"/>
    </row>
    <row r="77" spans="3:14" s="1" customFormat="1" ht="14.5" x14ac:dyDescent="0.35">
      <c r="C77" s="76">
        <v>510</v>
      </c>
      <c r="D77" s="76">
        <v>2010</v>
      </c>
      <c r="E77" s="76">
        <v>1</v>
      </c>
      <c r="F77" s="182">
        <v>278759.46135</v>
      </c>
      <c r="G77" s="181">
        <v>1189734.5382677922</v>
      </c>
      <c r="H77" s="183">
        <f t="shared" si="0"/>
        <v>505387.2323744662</v>
      </c>
      <c r="I77"/>
      <c r="J77"/>
      <c r="K77"/>
      <c r="L77"/>
      <c r="N77" s="173"/>
    </row>
    <row r="78" spans="3:14" s="1" customFormat="1" ht="14.5" x14ac:dyDescent="0.35">
      <c r="C78" s="76">
        <v>511</v>
      </c>
      <c r="D78" s="76">
        <v>2011</v>
      </c>
      <c r="E78" s="76">
        <v>1</v>
      </c>
      <c r="F78" s="182">
        <v>317627.73702</v>
      </c>
      <c r="G78" s="181">
        <v>1063044.4339682483</v>
      </c>
      <c r="H78" s="183">
        <f t="shared" si="0"/>
        <v>451570.55384515278</v>
      </c>
      <c r="I78"/>
      <c r="J78"/>
      <c r="K78"/>
      <c r="L78"/>
      <c r="N78" s="173"/>
    </row>
    <row r="79" spans="3:14" s="1" customFormat="1" ht="14.5" x14ac:dyDescent="0.35">
      <c r="C79" s="76">
        <v>512</v>
      </c>
      <c r="D79" s="76">
        <v>2012</v>
      </c>
      <c r="E79" s="76">
        <v>1</v>
      </c>
      <c r="F79" s="182">
        <v>350958.66492000007</v>
      </c>
      <c r="G79" s="181">
        <v>1108549.2631542983</v>
      </c>
      <c r="H79" s="183">
        <f t="shared" si="0"/>
        <v>470900.54632859718</v>
      </c>
      <c r="I79"/>
      <c r="J79"/>
      <c r="K79"/>
      <c r="L79"/>
      <c r="N79" s="173"/>
    </row>
    <row r="80" spans="3:14" s="1" customFormat="1" ht="14.5" x14ac:dyDescent="0.35">
      <c r="C80" s="76">
        <v>513</v>
      </c>
      <c r="D80" s="76">
        <v>2013</v>
      </c>
      <c r="E80" s="76">
        <v>1</v>
      </c>
      <c r="F80" s="182">
        <v>387877.9989499998</v>
      </c>
      <c r="G80" s="181">
        <v>1163000.3563998956</v>
      </c>
      <c r="H80" s="183">
        <f t="shared" si="0"/>
        <v>494030.82155387802</v>
      </c>
      <c r="I80"/>
      <c r="J80"/>
      <c r="K80"/>
      <c r="L80"/>
      <c r="N80" s="173"/>
    </row>
    <row r="81" spans="3:14" s="1" customFormat="1" ht="14.5" x14ac:dyDescent="0.35">
      <c r="C81" s="76">
        <v>514</v>
      </c>
      <c r="D81" s="76">
        <v>2014</v>
      </c>
      <c r="E81" s="76">
        <v>1</v>
      </c>
      <c r="F81" s="182">
        <v>365738.55767000001</v>
      </c>
      <c r="G81" s="181">
        <v>1017129.8865714582</v>
      </c>
      <c r="H81" s="183">
        <f t="shared" si="0"/>
        <v>432066.51719814155</v>
      </c>
      <c r="I81"/>
      <c r="J81"/>
      <c r="K81"/>
      <c r="L81"/>
      <c r="N81" s="173"/>
    </row>
    <row r="82" spans="3:14" s="1" customFormat="1" ht="14.5" x14ac:dyDescent="0.35">
      <c r="C82" s="76">
        <v>515</v>
      </c>
      <c r="D82" s="76">
        <v>2015</v>
      </c>
      <c r="E82" s="76">
        <v>1</v>
      </c>
      <c r="F82" s="182">
        <v>381461.5461299998</v>
      </c>
      <c r="G82" s="181">
        <v>933155.54130820918</v>
      </c>
      <c r="H82" s="183">
        <f t="shared" ref="H82:H145" si="1">G82*$H$14</f>
        <v>396395.06228279404</v>
      </c>
      <c r="I82"/>
      <c r="J82"/>
      <c r="K82"/>
      <c r="L82"/>
      <c r="N82" s="173"/>
    </row>
    <row r="83" spans="3:14" s="1" customFormat="1" ht="14.5" x14ac:dyDescent="0.35">
      <c r="C83" s="76">
        <v>516</v>
      </c>
      <c r="D83" s="76">
        <v>2016</v>
      </c>
      <c r="E83" s="76">
        <v>1</v>
      </c>
      <c r="F83" s="182">
        <v>344893.63842298696</v>
      </c>
      <c r="G83" s="181">
        <v>817840.89446429489</v>
      </c>
      <c r="H83" s="183">
        <f t="shared" si="1"/>
        <v>347410.56334949745</v>
      </c>
      <c r="I83"/>
      <c r="J83"/>
      <c r="K83"/>
      <c r="L83"/>
      <c r="N83" s="173"/>
    </row>
    <row r="84" spans="3:14" s="1" customFormat="1" ht="14.5" x14ac:dyDescent="0.35">
      <c r="C84" s="76">
        <v>517</v>
      </c>
      <c r="D84" s="76">
        <v>2017</v>
      </c>
      <c r="E84" s="76">
        <v>1</v>
      </c>
      <c r="F84" s="182">
        <v>353346.31027999998</v>
      </c>
      <c r="G84" s="181">
        <v>800646.43628000002</v>
      </c>
      <c r="H84" s="183">
        <f t="shared" si="1"/>
        <v>340106.53093350038</v>
      </c>
      <c r="I84"/>
      <c r="J84"/>
      <c r="K84"/>
      <c r="L84"/>
      <c r="N84" s="173"/>
    </row>
    <row r="85" spans="3:14" s="1" customFormat="1" ht="14.5" x14ac:dyDescent="0.35">
      <c r="C85" s="76">
        <v>518</v>
      </c>
      <c r="D85" s="76">
        <v>2018</v>
      </c>
      <c r="E85" s="76">
        <v>1</v>
      </c>
      <c r="F85" s="182">
        <v>362234.78839999996</v>
      </c>
      <c r="G85" s="181">
        <v>784315.7475786123</v>
      </c>
      <c r="H85" s="183">
        <f t="shared" si="1"/>
        <v>333169.41908199457</v>
      </c>
      <c r="I85"/>
      <c r="J85"/>
      <c r="K85"/>
      <c r="L85"/>
      <c r="N85" s="173"/>
    </row>
    <row r="86" spans="3:14" s="1" customFormat="1" ht="14.5" x14ac:dyDescent="0.35">
      <c r="C86" s="76">
        <v>519</v>
      </c>
      <c r="D86" s="76">
        <v>2019</v>
      </c>
      <c r="E86" s="76">
        <v>1</v>
      </c>
      <c r="F86" s="182">
        <v>350114.929</v>
      </c>
      <c r="G86" s="181">
        <v>754506.92700000003</v>
      </c>
      <c r="H86" s="183">
        <f t="shared" si="1"/>
        <v>320506.9327474329</v>
      </c>
      <c r="I86"/>
      <c r="J86"/>
      <c r="K86"/>
      <c r="L86"/>
      <c r="N86" s="173"/>
    </row>
    <row r="87" spans="3:14" s="1" customFormat="1" ht="14.5" x14ac:dyDescent="0.35">
      <c r="C87" s="76">
        <v>606</v>
      </c>
      <c r="D87" s="76">
        <v>2006</v>
      </c>
      <c r="E87" s="76">
        <v>1</v>
      </c>
      <c r="F87" s="182">
        <v>259957.891</v>
      </c>
      <c r="G87" s="181">
        <v>750951.09964588226</v>
      </c>
      <c r="H87" s="183">
        <f t="shared" si="1"/>
        <v>318996.45315093786</v>
      </c>
      <c r="I87"/>
      <c r="J87"/>
      <c r="K87"/>
      <c r="L87"/>
      <c r="N87" s="173"/>
    </row>
    <row r="88" spans="3:14" s="1" customFormat="1" ht="14.5" x14ac:dyDescent="0.35">
      <c r="C88" s="76">
        <v>607</v>
      </c>
      <c r="D88" s="76">
        <v>2007</v>
      </c>
      <c r="E88" s="76">
        <v>1</v>
      </c>
      <c r="F88" s="182">
        <v>241890.48055000001</v>
      </c>
      <c r="G88" s="181">
        <v>767605.29231986857</v>
      </c>
      <c r="H88" s="183">
        <f t="shared" si="1"/>
        <v>326070.98622719164</v>
      </c>
      <c r="I88"/>
      <c r="J88"/>
      <c r="K88"/>
      <c r="L88"/>
      <c r="N88" s="173"/>
    </row>
    <row r="89" spans="3:14" s="1" customFormat="1" ht="14.5" x14ac:dyDescent="0.35">
      <c r="C89" s="76">
        <v>608</v>
      </c>
      <c r="D89" s="76">
        <v>2008</v>
      </c>
      <c r="E89" s="76">
        <v>1</v>
      </c>
      <c r="F89" s="182">
        <v>269457.2365</v>
      </c>
      <c r="G89" s="181">
        <v>817212.95537647803</v>
      </c>
      <c r="H89" s="183">
        <f t="shared" si="1"/>
        <v>347143.82115829102</v>
      </c>
      <c r="I89"/>
      <c r="J89"/>
      <c r="K89"/>
      <c r="L89"/>
      <c r="N89" s="173"/>
    </row>
    <row r="90" spans="3:14" s="1" customFormat="1" ht="14.5" x14ac:dyDescent="0.35">
      <c r="C90" s="76">
        <v>609</v>
      </c>
      <c r="D90" s="76">
        <v>2009</v>
      </c>
      <c r="E90" s="76">
        <v>1</v>
      </c>
      <c r="F90" s="182">
        <v>270466.59799000004</v>
      </c>
      <c r="G90" s="181">
        <v>825845.01509422017</v>
      </c>
      <c r="H90" s="183">
        <f t="shared" si="1"/>
        <v>350810.63306474581</v>
      </c>
      <c r="I90"/>
      <c r="J90"/>
      <c r="K90"/>
      <c r="L90"/>
      <c r="N90" s="173"/>
    </row>
    <row r="91" spans="3:14" s="1" customFormat="1" ht="14.5" x14ac:dyDescent="0.35">
      <c r="C91" s="76">
        <v>610</v>
      </c>
      <c r="D91" s="76">
        <v>2010</v>
      </c>
      <c r="E91" s="76">
        <v>1</v>
      </c>
      <c r="F91" s="182">
        <v>270621.21470000001</v>
      </c>
      <c r="G91" s="181">
        <v>928765.65669117123</v>
      </c>
      <c r="H91" s="183">
        <f t="shared" si="1"/>
        <v>394530.28357318527</v>
      </c>
      <c r="I91"/>
      <c r="J91"/>
      <c r="K91"/>
      <c r="L91"/>
      <c r="N91" s="173"/>
    </row>
    <row r="92" spans="3:14" s="1" customFormat="1" ht="14.5" x14ac:dyDescent="0.35">
      <c r="C92" s="76">
        <v>611</v>
      </c>
      <c r="D92" s="76">
        <v>2011</v>
      </c>
      <c r="E92" s="76">
        <v>1</v>
      </c>
      <c r="F92" s="182">
        <v>345122.06182</v>
      </c>
      <c r="G92" s="181">
        <v>996502.7074024654</v>
      </c>
      <c r="H92" s="183">
        <f t="shared" si="1"/>
        <v>423304.29952974682</v>
      </c>
      <c r="I92"/>
      <c r="J92"/>
      <c r="K92"/>
      <c r="L92"/>
      <c r="N92" s="173"/>
    </row>
    <row r="93" spans="3:14" s="1" customFormat="1" ht="14.5" x14ac:dyDescent="0.35">
      <c r="C93" s="76">
        <v>612</v>
      </c>
      <c r="D93" s="76">
        <v>2012</v>
      </c>
      <c r="E93" s="76">
        <v>1</v>
      </c>
      <c r="F93" s="182">
        <v>363976.48437000008</v>
      </c>
      <c r="G93" s="181">
        <v>1048193.3263431131</v>
      </c>
      <c r="H93" s="183">
        <f t="shared" si="1"/>
        <v>445261.95311200921</v>
      </c>
      <c r="I93"/>
      <c r="J93"/>
      <c r="K93"/>
      <c r="L93"/>
      <c r="N93" s="173"/>
    </row>
    <row r="94" spans="3:14" s="1" customFormat="1" ht="14.5" x14ac:dyDescent="0.35">
      <c r="C94" s="76">
        <v>613</v>
      </c>
      <c r="D94" s="76">
        <v>2013</v>
      </c>
      <c r="E94" s="76">
        <v>1</v>
      </c>
      <c r="F94" s="182">
        <v>298481.04830000014</v>
      </c>
      <c r="G94" s="181">
        <v>969298.41248712176</v>
      </c>
      <c r="H94" s="183">
        <f t="shared" si="1"/>
        <v>411748.18942809181</v>
      </c>
      <c r="I94"/>
      <c r="J94"/>
      <c r="K94"/>
      <c r="L94"/>
      <c r="N94" s="173"/>
    </row>
    <row r="95" spans="3:14" s="1" customFormat="1" ht="14.5" x14ac:dyDescent="0.35">
      <c r="C95" s="76">
        <v>614</v>
      </c>
      <c r="D95" s="76">
        <v>2014</v>
      </c>
      <c r="E95" s="76">
        <v>1</v>
      </c>
      <c r="F95" s="182">
        <v>308046.36037000001</v>
      </c>
      <c r="G95" s="181">
        <v>918762.54831213166</v>
      </c>
      <c r="H95" s="183">
        <f t="shared" si="1"/>
        <v>390281.06402359973</v>
      </c>
      <c r="I95"/>
      <c r="J95"/>
      <c r="K95"/>
      <c r="L95"/>
      <c r="N95" s="173"/>
    </row>
    <row r="96" spans="3:14" s="1" customFormat="1" ht="14.5" x14ac:dyDescent="0.35">
      <c r="C96" s="76">
        <v>615</v>
      </c>
      <c r="D96" s="76">
        <v>2015</v>
      </c>
      <c r="E96" s="76">
        <v>1</v>
      </c>
      <c r="F96" s="182">
        <v>362830.15773000004</v>
      </c>
      <c r="G96" s="181">
        <v>845461.42544306489</v>
      </c>
      <c r="H96" s="183">
        <f t="shared" si="1"/>
        <v>359143.48633280228</v>
      </c>
      <c r="I96"/>
      <c r="J96"/>
      <c r="K96"/>
      <c r="L96"/>
      <c r="N96" s="173"/>
    </row>
    <row r="97" spans="3:14" s="1" customFormat="1" ht="14.5" x14ac:dyDescent="0.35">
      <c r="C97" s="76">
        <v>616</v>
      </c>
      <c r="D97" s="76">
        <v>2016</v>
      </c>
      <c r="E97" s="76">
        <v>1</v>
      </c>
      <c r="F97" s="182">
        <v>371607.978</v>
      </c>
      <c r="G97" s="181">
        <v>885308.16801148816</v>
      </c>
      <c r="H97" s="183">
        <f t="shared" si="1"/>
        <v>376069.98068768036</v>
      </c>
      <c r="I97"/>
      <c r="J97"/>
      <c r="K97"/>
      <c r="L97"/>
      <c r="N97" s="173"/>
    </row>
    <row r="98" spans="3:14" s="1" customFormat="1" ht="14.5" x14ac:dyDescent="0.35">
      <c r="C98" s="76">
        <v>617</v>
      </c>
      <c r="D98" s="76">
        <v>2017</v>
      </c>
      <c r="E98" s="76">
        <v>1</v>
      </c>
      <c r="F98" s="182">
        <v>341013.31</v>
      </c>
      <c r="G98" s="181">
        <v>784898.24510121357</v>
      </c>
      <c r="H98" s="183">
        <f t="shared" si="1"/>
        <v>333416.85815461411</v>
      </c>
      <c r="I98"/>
      <c r="J98"/>
      <c r="K98"/>
      <c r="L98"/>
      <c r="N98" s="173"/>
    </row>
    <row r="99" spans="3:14" s="1" customFormat="1" ht="14.5" x14ac:dyDescent="0.35">
      <c r="C99" s="76">
        <v>618</v>
      </c>
      <c r="D99" s="76">
        <v>2018</v>
      </c>
      <c r="E99" s="76">
        <v>1</v>
      </c>
      <c r="F99" s="182">
        <v>357962.68099999998</v>
      </c>
      <c r="G99" s="181">
        <v>783730.27276322234</v>
      </c>
      <c r="H99" s="183">
        <f t="shared" si="1"/>
        <v>332920.71528542688</v>
      </c>
      <c r="I99"/>
      <c r="J99"/>
      <c r="K99"/>
      <c r="L99"/>
      <c r="N99" s="173"/>
    </row>
    <row r="100" spans="3:14" s="1" customFormat="1" ht="14.5" x14ac:dyDescent="0.35">
      <c r="C100" s="76">
        <v>619</v>
      </c>
      <c r="D100" s="76">
        <v>2019</v>
      </c>
      <c r="E100" s="76">
        <v>1</v>
      </c>
      <c r="F100" s="182">
        <v>368947.33100000001</v>
      </c>
      <c r="G100" s="181">
        <v>830803.86499999999</v>
      </c>
      <c r="H100" s="183">
        <f t="shared" si="1"/>
        <v>352917.10249051475</v>
      </c>
      <c r="I100"/>
      <c r="J100"/>
      <c r="K100"/>
      <c r="L100"/>
      <c r="N100" s="173"/>
    </row>
    <row r="101" spans="3:14" s="1" customFormat="1" ht="14.5" x14ac:dyDescent="0.35">
      <c r="C101" s="76">
        <v>706</v>
      </c>
      <c r="D101" s="76">
        <v>2006</v>
      </c>
      <c r="E101" s="76">
        <v>1</v>
      </c>
      <c r="F101" s="182">
        <v>198507.61938633298</v>
      </c>
      <c r="G101" s="181">
        <v>569557.96208823216</v>
      </c>
      <c r="H101" s="183">
        <f t="shared" si="1"/>
        <v>241942.47782005847</v>
      </c>
      <c r="I101"/>
      <c r="J101"/>
      <c r="K101"/>
      <c r="L101"/>
      <c r="N101" s="173"/>
    </row>
    <row r="102" spans="3:14" s="1" customFormat="1" ht="14.5" x14ac:dyDescent="0.35">
      <c r="C102" s="76">
        <v>707</v>
      </c>
      <c r="D102" s="76">
        <v>2007</v>
      </c>
      <c r="E102" s="76">
        <v>1</v>
      </c>
      <c r="F102" s="182">
        <v>249199.63407414002</v>
      </c>
      <c r="G102" s="181">
        <v>711304.50826018082</v>
      </c>
      <c r="H102" s="183">
        <f t="shared" si="1"/>
        <v>302154.98099978559</v>
      </c>
      <c r="I102"/>
      <c r="J102"/>
      <c r="K102"/>
      <c r="L102"/>
      <c r="N102" s="173"/>
    </row>
    <row r="103" spans="3:14" s="1" customFormat="1" ht="14.5" x14ac:dyDescent="0.35">
      <c r="C103" s="76">
        <v>708</v>
      </c>
      <c r="D103" s="76">
        <v>2008</v>
      </c>
      <c r="E103" s="76">
        <v>1</v>
      </c>
      <c r="F103" s="182">
        <v>304612.28626150603</v>
      </c>
      <c r="G103" s="181">
        <v>829025.28668743907</v>
      </c>
      <c r="H103" s="183">
        <f t="shared" si="1"/>
        <v>352161.58036180935</v>
      </c>
      <c r="I103"/>
      <c r="J103"/>
      <c r="K103"/>
      <c r="L103"/>
      <c r="N103" s="173"/>
    </row>
    <row r="104" spans="3:14" s="1" customFormat="1" ht="14.5" x14ac:dyDescent="0.35">
      <c r="C104" s="76">
        <v>709</v>
      </c>
      <c r="D104" s="76">
        <v>2009</v>
      </c>
      <c r="E104" s="76">
        <v>1</v>
      </c>
      <c r="F104" s="182">
        <v>296582.84979402204</v>
      </c>
      <c r="G104" s="181">
        <v>931501.07428158075</v>
      </c>
      <c r="H104" s="183">
        <f t="shared" si="1"/>
        <v>395692.26137658523</v>
      </c>
      <c r="I104"/>
      <c r="J104"/>
      <c r="K104"/>
      <c r="L104"/>
      <c r="N104" s="173"/>
    </row>
    <row r="105" spans="3:14" s="1" customFormat="1" ht="14.5" x14ac:dyDescent="0.35">
      <c r="C105" s="76">
        <v>710</v>
      </c>
      <c r="D105" s="76">
        <v>2010</v>
      </c>
      <c r="E105" s="76">
        <v>1</v>
      </c>
      <c r="F105" s="182">
        <v>324946.11772000004</v>
      </c>
      <c r="G105" s="181">
        <v>994252.26024520001</v>
      </c>
      <c r="H105" s="183">
        <f t="shared" si="1"/>
        <v>422348.33227500838</v>
      </c>
      <c r="I105"/>
      <c r="J105"/>
      <c r="K105"/>
      <c r="L105"/>
      <c r="N105" s="173"/>
    </row>
    <row r="106" spans="3:14" s="1" customFormat="1" ht="14.5" x14ac:dyDescent="0.35">
      <c r="C106" s="76">
        <v>711</v>
      </c>
      <c r="D106" s="76">
        <v>2011</v>
      </c>
      <c r="E106" s="76">
        <v>1</v>
      </c>
      <c r="F106" s="182">
        <v>336208.00537622103</v>
      </c>
      <c r="G106" s="181">
        <v>1061809.2615440276</v>
      </c>
      <c r="H106" s="183">
        <f t="shared" si="1"/>
        <v>451045.86505710508</v>
      </c>
      <c r="I106"/>
      <c r="J106"/>
      <c r="K106"/>
      <c r="L106"/>
      <c r="N106" s="173"/>
    </row>
    <row r="107" spans="3:14" s="1" customFormat="1" ht="14.5" x14ac:dyDescent="0.35">
      <c r="C107" s="76">
        <v>712</v>
      </c>
      <c r="D107" s="76">
        <v>2012</v>
      </c>
      <c r="E107" s="76">
        <v>1</v>
      </c>
      <c r="F107" s="182">
        <v>429455.71274000197</v>
      </c>
      <c r="G107" s="181">
        <v>1203559.1379700636</v>
      </c>
      <c r="H107" s="183">
        <f t="shared" si="1"/>
        <v>511259.78289518011</v>
      </c>
      <c r="I107"/>
      <c r="J107"/>
      <c r="K107"/>
      <c r="L107"/>
      <c r="N107" s="173"/>
    </row>
    <row r="108" spans="3:14" s="1" customFormat="1" ht="14.5" x14ac:dyDescent="0.35">
      <c r="C108" s="76">
        <v>713</v>
      </c>
      <c r="D108" s="76">
        <v>2013</v>
      </c>
      <c r="E108" s="76">
        <v>1</v>
      </c>
      <c r="F108" s="182">
        <v>401260.42950844707</v>
      </c>
      <c r="G108" s="181">
        <v>1055115.8439256146</v>
      </c>
      <c r="H108" s="183">
        <f t="shared" si="1"/>
        <v>448202.56876159587</v>
      </c>
      <c r="I108"/>
      <c r="J108"/>
      <c r="K108"/>
      <c r="L108"/>
      <c r="N108" s="173"/>
    </row>
    <row r="109" spans="3:14" s="1" customFormat="1" ht="14.5" x14ac:dyDescent="0.35">
      <c r="C109" s="76">
        <v>714</v>
      </c>
      <c r="D109" s="76">
        <v>2014</v>
      </c>
      <c r="E109" s="76">
        <v>1</v>
      </c>
      <c r="F109" s="182">
        <v>390948.49645502307</v>
      </c>
      <c r="G109" s="181">
        <v>1033758.9522973956</v>
      </c>
      <c r="H109" s="183">
        <f t="shared" si="1"/>
        <v>439130.37660029071</v>
      </c>
      <c r="I109"/>
      <c r="J109"/>
      <c r="K109"/>
      <c r="L109"/>
      <c r="N109" s="173"/>
    </row>
    <row r="110" spans="3:14" s="1" customFormat="1" ht="14.5" x14ac:dyDescent="0.35">
      <c r="C110" s="76">
        <v>715</v>
      </c>
      <c r="D110" s="76">
        <v>2015</v>
      </c>
      <c r="E110" s="76">
        <v>1</v>
      </c>
      <c r="F110" s="182">
        <v>391299.86702397501</v>
      </c>
      <c r="G110" s="181">
        <v>875477.01773882122</v>
      </c>
      <c r="H110" s="183">
        <f t="shared" si="1"/>
        <v>371893.80720733863</v>
      </c>
      <c r="I110"/>
      <c r="J110"/>
      <c r="K110"/>
      <c r="L110"/>
      <c r="N110" s="173"/>
    </row>
    <row r="111" spans="3:14" s="1" customFormat="1" ht="14.5" x14ac:dyDescent="0.35">
      <c r="C111" s="76">
        <v>716</v>
      </c>
      <c r="D111" s="76">
        <v>2016</v>
      </c>
      <c r="E111" s="76">
        <v>1</v>
      </c>
      <c r="F111" s="182">
        <v>313936.839553856</v>
      </c>
      <c r="G111" s="181">
        <v>739550.62555385602</v>
      </c>
      <c r="H111" s="183">
        <f t="shared" si="1"/>
        <v>314153.64674009371</v>
      </c>
      <c r="I111"/>
      <c r="J111"/>
      <c r="K111"/>
      <c r="L111"/>
      <c r="N111" s="173"/>
    </row>
    <row r="112" spans="3:14" s="1" customFormat="1" ht="14.5" x14ac:dyDescent="0.35">
      <c r="C112" s="76">
        <v>717</v>
      </c>
      <c r="D112" s="76">
        <v>2017</v>
      </c>
      <c r="E112" s="76">
        <v>1</v>
      </c>
      <c r="F112" s="182">
        <v>321942.69254999899</v>
      </c>
      <c r="G112" s="181">
        <v>731005.12878271658</v>
      </c>
      <c r="H112" s="183">
        <f t="shared" si="1"/>
        <v>310523.60590029502</v>
      </c>
      <c r="I112"/>
      <c r="J112"/>
      <c r="K112"/>
      <c r="L112"/>
      <c r="N112" s="173"/>
    </row>
    <row r="113" spans="3:15" s="1" customFormat="1" ht="14.5" x14ac:dyDescent="0.35">
      <c r="C113" s="76">
        <v>718</v>
      </c>
      <c r="D113" s="76">
        <v>2018</v>
      </c>
      <c r="E113" s="76">
        <v>1</v>
      </c>
      <c r="F113" s="182">
        <v>345390.71399999998</v>
      </c>
      <c r="G113" s="181">
        <v>734329.63329363929</v>
      </c>
      <c r="H113" s="183">
        <f t="shared" si="1"/>
        <v>311935.82188608788</v>
      </c>
      <c r="I113"/>
      <c r="J113"/>
      <c r="K113"/>
      <c r="L113"/>
      <c r="N113" s="173"/>
    </row>
    <row r="114" spans="3:15" s="1" customFormat="1" ht="14.5" x14ac:dyDescent="0.35">
      <c r="C114" s="76">
        <v>719</v>
      </c>
      <c r="D114" s="76">
        <v>2019</v>
      </c>
      <c r="E114" s="76">
        <v>1</v>
      </c>
      <c r="F114" s="182">
        <v>401766.886</v>
      </c>
      <c r="G114" s="181">
        <v>853161.92500000005</v>
      </c>
      <c r="H114" s="183">
        <f t="shared" si="1"/>
        <v>362414.58087852044</v>
      </c>
      <c r="I114"/>
      <c r="J114"/>
      <c r="K114"/>
      <c r="L114"/>
      <c r="N114" s="173"/>
    </row>
    <row r="115" spans="3:15" s="1" customFormat="1" ht="14.5" x14ac:dyDescent="0.35">
      <c r="C115" s="76">
        <v>806</v>
      </c>
      <c r="D115" s="76">
        <v>2006</v>
      </c>
      <c r="E115" s="76">
        <v>1</v>
      </c>
      <c r="F115" s="182">
        <v>46756.092287101899</v>
      </c>
      <c r="G115" s="181">
        <v>97708.999457514234</v>
      </c>
      <c r="H115" s="183">
        <f t="shared" si="1"/>
        <v>41505.797491437042</v>
      </c>
      <c r="I115"/>
      <c r="J115"/>
      <c r="K115"/>
      <c r="L115"/>
      <c r="N115" s="173"/>
    </row>
    <row r="116" spans="3:15" s="1" customFormat="1" ht="14.5" x14ac:dyDescent="0.35">
      <c r="C116" s="76">
        <v>807</v>
      </c>
      <c r="D116" s="76">
        <v>2007</v>
      </c>
      <c r="E116" s="76">
        <v>1</v>
      </c>
      <c r="F116" s="182">
        <v>51252.352222211397</v>
      </c>
      <c r="G116" s="181">
        <v>105847.14302831801</v>
      </c>
      <c r="H116" s="183">
        <f t="shared" si="1"/>
        <v>44962.798800235578</v>
      </c>
      <c r="I116"/>
      <c r="J116"/>
      <c r="K116"/>
      <c r="L116"/>
      <c r="N116" s="173"/>
    </row>
    <row r="117" spans="3:15" s="1" customFormat="1" ht="14.5" x14ac:dyDescent="0.35">
      <c r="C117" s="76">
        <v>808</v>
      </c>
      <c r="D117" s="76">
        <v>2008</v>
      </c>
      <c r="E117" s="76">
        <v>1</v>
      </c>
      <c r="F117" s="182">
        <v>43220.358648427202</v>
      </c>
      <c r="G117" s="181">
        <v>77943.165380384919</v>
      </c>
      <c r="H117" s="183">
        <f t="shared" si="1"/>
        <v>33109.470530670253</v>
      </c>
      <c r="I117"/>
      <c r="J117"/>
      <c r="K117"/>
      <c r="L117"/>
      <c r="N117" s="173"/>
    </row>
    <row r="118" spans="3:15" s="1" customFormat="1" ht="14.5" x14ac:dyDescent="0.35">
      <c r="C118" s="76">
        <v>809</v>
      </c>
      <c r="D118" s="76">
        <v>2009</v>
      </c>
      <c r="E118" s="76">
        <v>1</v>
      </c>
      <c r="F118" s="182">
        <v>48349.725749867001</v>
      </c>
      <c r="G118" s="181">
        <v>113768.13332089735</v>
      </c>
      <c r="H118" s="183">
        <f t="shared" si="1"/>
        <v>48327.555586619324</v>
      </c>
      <c r="I118"/>
      <c r="J118"/>
      <c r="K118"/>
      <c r="L118"/>
      <c r="N118" s="173"/>
    </row>
    <row r="119" spans="3:15" s="1" customFormat="1" ht="14.5" x14ac:dyDescent="0.35">
      <c r="C119" s="76">
        <v>810</v>
      </c>
      <c r="D119" s="76">
        <v>2010</v>
      </c>
      <c r="E119" s="76">
        <v>1</v>
      </c>
      <c r="F119" s="182">
        <v>58605.575110382997</v>
      </c>
      <c r="G119" s="181">
        <v>142144.89185194037</v>
      </c>
      <c r="H119" s="183">
        <f t="shared" si="1"/>
        <v>60381.716406933629</v>
      </c>
      <c r="I119"/>
      <c r="J119"/>
      <c r="K119"/>
      <c r="L119"/>
      <c r="N119" s="173"/>
    </row>
    <row r="120" spans="3:15" s="1" customFormat="1" ht="14.5" x14ac:dyDescent="0.35">
      <c r="C120" s="76">
        <v>811</v>
      </c>
      <c r="D120" s="76">
        <v>2011</v>
      </c>
      <c r="E120" s="76">
        <v>1</v>
      </c>
      <c r="F120" s="182">
        <v>59886.898408099398</v>
      </c>
      <c r="G120" s="181">
        <v>174139.41747756134</v>
      </c>
      <c r="H120" s="183">
        <f t="shared" si="1"/>
        <v>73972.668200775704</v>
      </c>
      <c r="I120"/>
      <c r="J120"/>
      <c r="K120"/>
      <c r="L120"/>
      <c r="N120" s="173"/>
      <c r="O120" s="174"/>
    </row>
    <row r="121" spans="3:15" s="1" customFormat="1" ht="14.5" x14ac:dyDescent="0.35">
      <c r="C121" s="76">
        <v>812</v>
      </c>
      <c r="D121" s="76">
        <v>2012</v>
      </c>
      <c r="E121" s="76">
        <v>1</v>
      </c>
      <c r="F121" s="182">
        <v>70098.067766092601</v>
      </c>
      <c r="G121" s="181">
        <v>174780.74735904357</v>
      </c>
      <c r="H121" s="183">
        <f t="shared" si="1"/>
        <v>74245.098666073667</v>
      </c>
      <c r="I121"/>
      <c r="J121"/>
      <c r="K121"/>
      <c r="L121"/>
      <c r="N121" s="173"/>
      <c r="O121" s="174"/>
    </row>
    <row r="122" spans="3:15" s="1" customFormat="1" ht="14.5" x14ac:dyDescent="0.35">
      <c r="C122" s="76">
        <v>813</v>
      </c>
      <c r="D122" s="76">
        <v>2013</v>
      </c>
      <c r="E122" s="76">
        <v>1</v>
      </c>
      <c r="F122" s="182">
        <v>69150.303926688197</v>
      </c>
      <c r="G122" s="181">
        <v>181369.70940715386</v>
      </c>
      <c r="H122" s="183">
        <f t="shared" si="1"/>
        <v>77044.023288841345</v>
      </c>
      <c r="I122"/>
      <c r="J122"/>
      <c r="K122"/>
      <c r="L122"/>
      <c r="N122" s="173"/>
      <c r="O122" s="174"/>
    </row>
    <row r="123" spans="3:15" s="1" customFormat="1" ht="14.5" x14ac:dyDescent="0.35">
      <c r="C123" s="76">
        <v>814</v>
      </c>
      <c r="D123" s="76">
        <v>2014</v>
      </c>
      <c r="E123" s="76">
        <v>1</v>
      </c>
      <c r="F123" s="182">
        <v>69918.556613006105</v>
      </c>
      <c r="G123" s="181">
        <v>184443.22993226783</v>
      </c>
      <c r="H123" s="183">
        <f t="shared" si="1"/>
        <v>78349.623808848963</v>
      </c>
      <c r="I123"/>
      <c r="J123"/>
      <c r="K123"/>
      <c r="L123"/>
      <c r="N123" s="173"/>
      <c r="O123" s="174"/>
    </row>
    <row r="124" spans="3:15" s="1" customFormat="1" ht="14.5" x14ac:dyDescent="0.35">
      <c r="C124" s="76">
        <v>815</v>
      </c>
      <c r="D124" s="76">
        <v>2015</v>
      </c>
      <c r="E124" s="76">
        <v>1</v>
      </c>
      <c r="F124" s="182">
        <v>73079.730390022902</v>
      </c>
      <c r="G124" s="181">
        <v>184230.8089896983</v>
      </c>
      <c r="H124" s="183">
        <f t="shared" si="1"/>
        <v>78259.389534890768</v>
      </c>
      <c r="I124"/>
      <c r="J124"/>
      <c r="K124"/>
      <c r="L124"/>
      <c r="N124" s="173"/>
      <c r="O124" s="174"/>
    </row>
    <row r="125" spans="3:15" s="1" customFormat="1" ht="14.5" x14ac:dyDescent="0.35">
      <c r="C125" s="76">
        <v>816</v>
      </c>
      <c r="D125" s="76">
        <v>2016</v>
      </c>
      <c r="E125" s="76">
        <v>1</v>
      </c>
      <c r="F125" s="182">
        <v>78683.548999999999</v>
      </c>
      <c r="G125" s="181">
        <v>179815.26868695585</v>
      </c>
      <c r="H125" s="183">
        <f t="shared" si="1"/>
        <v>76383.712548754032</v>
      </c>
      <c r="I125"/>
      <c r="J125"/>
      <c r="K125"/>
      <c r="L125"/>
      <c r="N125" s="173"/>
      <c r="O125" s="174"/>
    </row>
    <row r="126" spans="3:15" s="1" customFormat="1" ht="14.5" x14ac:dyDescent="0.35">
      <c r="C126" s="76">
        <v>817</v>
      </c>
      <c r="D126" s="76">
        <v>2017</v>
      </c>
      <c r="E126" s="76">
        <v>1</v>
      </c>
      <c r="F126" s="182">
        <v>84039.021999999997</v>
      </c>
      <c r="G126" s="181">
        <v>207581.63060793464</v>
      </c>
      <c r="H126" s="183">
        <f t="shared" si="1"/>
        <v>88178.583045480467</v>
      </c>
      <c r="I126"/>
      <c r="J126"/>
      <c r="K126"/>
      <c r="L126"/>
      <c r="N126" s="173"/>
      <c r="O126" s="174"/>
    </row>
    <row r="127" spans="3:15" s="1" customFormat="1" ht="14.5" x14ac:dyDescent="0.35">
      <c r="C127" s="76">
        <v>818</v>
      </c>
      <c r="D127" s="76">
        <v>2018</v>
      </c>
      <c r="E127" s="76">
        <v>1</v>
      </c>
      <c r="F127" s="182">
        <v>79198.771999999997</v>
      </c>
      <c r="G127" s="181">
        <v>197203.23782870872</v>
      </c>
      <c r="H127" s="183">
        <f t="shared" si="1"/>
        <v>83769.946467757167</v>
      </c>
      <c r="I127"/>
      <c r="J127"/>
      <c r="K127"/>
      <c r="L127"/>
      <c r="N127" s="173"/>
      <c r="O127" s="174"/>
    </row>
    <row r="128" spans="3:15" s="1" customFormat="1" ht="14.5" x14ac:dyDescent="0.35">
      <c r="C128" s="76">
        <v>819</v>
      </c>
      <c r="D128" s="76">
        <v>2019</v>
      </c>
      <c r="E128" s="76">
        <v>1</v>
      </c>
      <c r="F128" s="182">
        <v>84456.982650000005</v>
      </c>
      <c r="G128" s="181">
        <v>177165.88324837532</v>
      </c>
      <c r="H128" s="183">
        <f t="shared" si="1"/>
        <v>75258.280335743795</v>
      </c>
      <c r="I128"/>
      <c r="J128"/>
      <c r="K128"/>
      <c r="L128"/>
      <c r="N128" s="173"/>
      <c r="O128" s="174"/>
    </row>
    <row r="129" spans="3:14" s="1" customFormat="1" ht="14.5" x14ac:dyDescent="0.35">
      <c r="C129" s="76">
        <v>906</v>
      </c>
      <c r="D129" s="76">
        <v>2006</v>
      </c>
      <c r="E129" s="76">
        <v>1</v>
      </c>
      <c r="F129" s="182">
        <v>116861.47857915258</v>
      </c>
      <c r="G129" s="181">
        <v>259325.55130088184</v>
      </c>
      <c r="H129" s="183">
        <f t="shared" si="1"/>
        <v>110158.87867452634</v>
      </c>
      <c r="I129"/>
      <c r="J129"/>
      <c r="K129"/>
      <c r="L129"/>
      <c r="N129" s="173"/>
    </row>
    <row r="130" spans="3:14" s="1" customFormat="1" ht="14.5" x14ac:dyDescent="0.35">
      <c r="C130" s="76">
        <v>907</v>
      </c>
      <c r="D130" s="76">
        <v>2007</v>
      </c>
      <c r="E130" s="76">
        <v>1</v>
      </c>
      <c r="F130" s="182">
        <v>106359.56772461215</v>
      </c>
      <c r="G130" s="181">
        <v>248107.90447596635</v>
      </c>
      <c r="H130" s="183">
        <f t="shared" si="1"/>
        <v>105393.73544278282</v>
      </c>
      <c r="I130"/>
      <c r="J130"/>
      <c r="K130"/>
      <c r="L130"/>
      <c r="N130" s="173"/>
    </row>
    <row r="131" spans="3:14" s="1" customFormat="1" ht="14.5" x14ac:dyDescent="0.35">
      <c r="C131" s="76">
        <v>908</v>
      </c>
      <c r="D131" s="76">
        <v>2008</v>
      </c>
      <c r="E131" s="76">
        <v>1</v>
      </c>
      <c r="F131" s="182">
        <v>113514.72915098233</v>
      </c>
      <c r="G131" s="181">
        <v>260070.42902914266</v>
      </c>
      <c r="H131" s="183">
        <f t="shared" si="1"/>
        <v>110475.29522076801</v>
      </c>
      <c r="I131"/>
      <c r="J131"/>
      <c r="K131"/>
      <c r="L131"/>
      <c r="N131" s="173"/>
    </row>
    <row r="132" spans="3:14" s="1" customFormat="1" ht="14.5" x14ac:dyDescent="0.35">
      <c r="C132" s="76">
        <v>909</v>
      </c>
      <c r="D132" s="76">
        <v>2009</v>
      </c>
      <c r="E132" s="76">
        <v>1</v>
      </c>
      <c r="F132" s="182">
        <v>128379.6119855967</v>
      </c>
      <c r="G132" s="181">
        <v>268851.32616131543</v>
      </c>
      <c r="H132" s="183">
        <f t="shared" si="1"/>
        <v>114205.33175972138</v>
      </c>
      <c r="I132"/>
      <c r="J132"/>
      <c r="K132"/>
      <c r="L132"/>
      <c r="N132" s="173"/>
    </row>
    <row r="133" spans="3:14" s="1" customFormat="1" ht="14.5" x14ac:dyDescent="0.35">
      <c r="C133" s="76">
        <v>910</v>
      </c>
      <c r="D133" s="76">
        <v>2010</v>
      </c>
      <c r="E133" s="76">
        <v>1</v>
      </c>
      <c r="F133" s="182">
        <v>127280.19704758523</v>
      </c>
      <c r="G133" s="181">
        <v>308958.72040013701</v>
      </c>
      <c r="H133" s="183">
        <f t="shared" si="1"/>
        <v>131242.54831529153</v>
      </c>
      <c r="I133"/>
      <c r="J133"/>
      <c r="K133"/>
      <c r="L133"/>
      <c r="N133" s="173"/>
    </row>
    <row r="134" spans="3:14" s="1" customFormat="1" ht="14.5" x14ac:dyDescent="0.35">
      <c r="C134" s="76">
        <v>911</v>
      </c>
      <c r="D134" s="76">
        <v>2011</v>
      </c>
      <c r="E134" s="76">
        <v>1</v>
      </c>
      <c r="F134" s="182">
        <v>137174.04028031268</v>
      </c>
      <c r="G134" s="181">
        <v>347693.95448825613</v>
      </c>
      <c r="H134" s="183">
        <f t="shared" si="1"/>
        <v>147696.88507824196</v>
      </c>
      <c r="I134"/>
      <c r="J134"/>
      <c r="K134"/>
      <c r="L134"/>
      <c r="N134" s="173"/>
    </row>
    <row r="135" spans="3:14" s="1" customFormat="1" ht="14.5" x14ac:dyDescent="0.35">
      <c r="C135" s="76">
        <v>912</v>
      </c>
      <c r="D135" s="76">
        <v>2012</v>
      </c>
      <c r="E135" s="76">
        <v>1</v>
      </c>
      <c r="F135" s="182">
        <v>167745.95206778086</v>
      </c>
      <c r="G135" s="181">
        <v>396959.1140160138</v>
      </c>
      <c r="H135" s="183">
        <f t="shared" si="1"/>
        <v>168624.22796472363</v>
      </c>
      <c r="I135"/>
      <c r="J135"/>
      <c r="K135"/>
      <c r="L135"/>
      <c r="N135" s="173"/>
    </row>
    <row r="136" spans="3:14" s="1" customFormat="1" ht="14.5" x14ac:dyDescent="0.35">
      <c r="C136" s="76">
        <v>913</v>
      </c>
      <c r="D136" s="76">
        <v>2013</v>
      </c>
      <c r="E136" s="76">
        <v>1</v>
      </c>
      <c r="F136" s="182">
        <v>183726.35284227453</v>
      </c>
      <c r="G136" s="181">
        <v>438807.80229526799</v>
      </c>
      <c r="H136" s="183">
        <f t="shared" si="1"/>
        <v>186401.12866624258</v>
      </c>
      <c r="I136"/>
      <c r="J136"/>
      <c r="K136"/>
      <c r="L136"/>
      <c r="N136" s="173"/>
    </row>
    <row r="137" spans="3:14" s="1" customFormat="1" ht="14.5" x14ac:dyDescent="0.35">
      <c r="C137" s="76">
        <v>914</v>
      </c>
      <c r="D137" s="76">
        <v>2014</v>
      </c>
      <c r="E137" s="76">
        <v>1</v>
      </c>
      <c r="F137" s="182">
        <v>171080.18289509552</v>
      </c>
      <c r="G137" s="181">
        <v>467463.90149572957</v>
      </c>
      <c r="H137" s="183">
        <f t="shared" si="1"/>
        <v>198573.95058553838</v>
      </c>
      <c r="I137"/>
      <c r="J137"/>
      <c r="K137"/>
      <c r="L137"/>
      <c r="N137" s="173"/>
    </row>
    <row r="138" spans="3:14" s="1" customFormat="1" ht="14.5" x14ac:dyDescent="0.35">
      <c r="C138" s="76">
        <v>915</v>
      </c>
      <c r="D138" s="76">
        <v>2015</v>
      </c>
      <c r="E138" s="76">
        <v>1</v>
      </c>
      <c r="F138" s="182">
        <v>186774.27334163259</v>
      </c>
      <c r="G138" s="181">
        <v>471833.93847307365</v>
      </c>
      <c r="H138" s="183">
        <f t="shared" si="1"/>
        <v>200430.29821798549</v>
      </c>
      <c r="I138"/>
      <c r="J138"/>
      <c r="K138"/>
      <c r="L138"/>
      <c r="N138" s="173"/>
    </row>
    <row r="139" spans="3:14" s="1" customFormat="1" ht="14.5" x14ac:dyDescent="0.35">
      <c r="C139" s="76">
        <v>916</v>
      </c>
      <c r="D139" s="76">
        <v>2016</v>
      </c>
      <c r="E139" s="76">
        <v>1</v>
      </c>
      <c r="F139" s="182">
        <v>161157.56975476799</v>
      </c>
      <c r="G139" s="181">
        <v>395775.69675476803</v>
      </c>
      <c r="H139" s="183">
        <f t="shared" si="1"/>
        <v>168121.52424791301</v>
      </c>
      <c r="I139"/>
      <c r="J139"/>
      <c r="K139"/>
      <c r="L139"/>
      <c r="N139" s="173"/>
    </row>
    <row r="140" spans="3:14" s="1" customFormat="1" ht="14.5" x14ac:dyDescent="0.35">
      <c r="C140" s="76">
        <v>917</v>
      </c>
      <c r="D140" s="76">
        <v>2017</v>
      </c>
      <c r="E140" s="76">
        <v>1</v>
      </c>
      <c r="F140" s="182">
        <v>177216.06576257499</v>
      </c>
      <c r="G140" s="181">
        <v>481744.5825311091</v>
      </c>
      <c r="H140" s="183">
        <f t="shared" si="1"/>
        <v>204640.23985658959</v>
      </c>
      <c r="I140"/>
      <c r="J140"/>
      <c r="K140"/>
      <c r="L140"/>
      <c r="N140" s="173"/>
    </row>
    <row r="141" spans="3:14" s="1" customFormat="1" ht="14.5" x14ac:dyDescent="0.35">
      <c r="C141" s="76">
        <v>918</v>
      </c>
      <c r="D141" s="76">
        <v>2018</v>
      </c>
      <c r="E141" s="76">
        <v>1</v>
      </c>
      <c r="F141" s="182">
        <v>186388.80132767701</v>
      </c>
      <c r="G141" s="181">
        <v>490111.0692442971</v>
      </c>
      <c r="H141" s="183">
        <f t="shared" si="1"/>
        <v>208194.23902923873</v>
      </c>
      <c r="I141"/>
      <c r="J141"/>
      <c r="K141"/>
      <c r="L141"/>
      <c r="N141" s="173"/>
    </row>
    <row r="142" spans="3:14" s="1" customFormat="1" ht="14.5" x14ac:dyDescent="0.35">
      <c r="C142" s="76">
        <v>919</v>
      </c>
      <c r="D142" s="76">
        <v>2019</v>
      </c>
      <c r="E142" s="76">
        <v>1</v>
      </c>
      <c r="F142" s="182">
        <v>184353.73967465901</v>
      </c>
      <c r="G142" s="181">
        <v>499445.813674659</v>
      </c>
      <c r="H142" s="183">
        <f t="shared" si="1"/>
        <v>212159.54431444316</v>
      </c>
      <c r="I142"/>
      <c r="J142"/>
      <c r="K142"/>
      <c r="L142"/>
      <c r="N142" s="173"/>
    </row>
    <row r="143" spans="3:14" s="1" customFormat="1" ht="14.5" x14ac:dyDescent="0.35">
      <c r="C143" s="76">
        <v>1006</v>
      </c>
      <c r="D143" s="76">
        <v>2006</v>
      </c>
      <c r="E143" s="76">
        <v>1</v>
      </c>
      <c r="F143" s="182">
        <v>112506.535</v>
      </c>
      <c r="G143" s="181">
        <v>248432.67818107965</v>
      </c>
      <c r="H143" s="183">
        <f t="shared" si="1"/>
        <v>105531.69603709674</v>
      </c>
      <c r="I143"/>
      <c r="J143"/>
      <c r="K143"/>
      <c r="L143"/>
      <c r="N143" s="173"/>
    </row>
    <row r="144" spans="3:14" s="1" customFormat="1" ht="14.5" x14ac:dyDescent="0.35">
      <c r="C144" s="76">
        <v>1007</v>
      </c>
      <c r="D144" s="76">
        <v>2007</v>
      </c>
      <c r="E144" s="76">
        <v>1</v>
      </c>
      <c r="F144" s="182">
        <v>108991.583</v>
      </c>
      <c r="G144" s="181">
        <v>219539.15537090236</v>
      </c>
      <c r="H144" s="183">
        <f t="shared" si="1"/>
        <v>93258.01896301216</v>
      </c>
      <c r="I144"/>
      <c r="J144"/>
      <c r="K144"/>
      <c r="L144"/>
      <c r="N144" s="173"/>
    </row>
    <row r="145" spans="3:14" s="1" customFormat="1" ht="14.5" x14ac:dyDescent="0.35">
      <c r="C145" s="76">
        <v>1008</v>
      </c>
      <c r="D145" s="76">
        <v>2008</v>
      </c>
      <c r="E145" s="76">
        <v>1</v>
      </c>
      <c r="F145" s="182">
        <v>126897.568</v>
      </c>
      <c r="G145" s="181">
        <v>228615.04028543434</v>
      </c>
      <c r="H145" s="183">
        <f t="shared" si="1"/>
        <v>97113.363336709794</v>
      </c>
      <c r="I145"/>
      <c r="J145"/>
      <c r="K145"/>
      <c r="L145"/>
      <c r="N145" s="173"/>
    </row>
    <row r="146" spans="3:14" s="1" customFormat="1" ht="14.5" x14ac:dyDescent="0.35">
      <c r="C146" s="76">
        <v>1009</v>
      </c>
      <c r="D146" s="76">
        <v>2009</v>
      </c>
      <c r="E146" s="76">
        <v>1</v>
      </c>
      <c r="F146" s="182">
        <v>145514.894</v>
      </c>
      <c r="G146" s="181">
        <v>298483.50588463189</v>
      </c>
      <c r="H146" s="183">
        <f t="shared" ref="H146:H198" si="2">G146*$H$14</f>
        <v>126792.78284052614</v>
      </c>
      <c r="I146"/>
      <c r="J146"/>
      <c r="K146"/>
      <c r="L146"/>
      <c r="N146" s="173"/>
    </row>
    <row r="147" spans="3:14" s="1" customFormat="1" ht="14.5" x14ac:dyDescent="0.35">
      <c r="C147" s="76">
        <v>1010</v>
      </c>
      <c r="D147" s="76">
        <v>2010</v>
      </c>
      <c r="E147" s="76">
        <v>1</v>
      </c>
      <c r="F147" s="182">
        <v>147956.514</v>
      </c>
      <c r="G147" s="181">
        <v>265974.82494273892</v>
      </c>
      <c r="H147" s="183">
        <f t="shared" si="2"/>
        <v>112983.42305402408</v>
      </c>
      <c r="I147"/>
      <c r="J147"/>
      <c r="K147"/>
      <c r="L147"/>
      <c r="N147" s="173"/>
    </row>
    <row r="148" spans="3:14" s="1" customFormat="1" ht="14.5" x14ac:dyDescent="0.35">
      <c r="C148" s="76">
        <v>1011</v>
      </c>
      <c r="D148" s="76">
        <v>2011</v>
      </c>
      <c r="E148" s="76">
        <v>1</v>
      </c>
      <c r="F148" s="182">
        <v>191519.79500000001</v>
      </c>
      <c r="G148" s="181">
        <v>451977.50813800923</v>
      </c>
      <c r="H148" s="183">
        <f t="shared" si="2"/>
        <v>191995.48688058797</v>
      </c>
      <c r="I148"/>
      <c r="J148"/>
      <c r="K148"/>
      <c r="L148"/>
      <c r="N148" s="173"/>
    </row>
    <row r="149" spans="3:14" s="1" customFormat="1" ht="14.5" x14ac:dyDescent="0.35">
      <c r="C149" s="76">
        <v>1012</v>
      </c>
      <c r="D149" s="76">
        <v>2012</v>
      </c>
      <c r="E149" s="76">
        <v>1</v>
      </c>
      <c r="F149" s="182">
        <v>203371.86</v>
      </c>
      <c r="G149" s="181">
        <v>517616.17707689118</v>
      </c>
      <c r="H149" s="183">
        <f t="shared" si="2"/>
        <v>219878.13142418835</v>
      </c>
      <c r="I149"/>
      <c r="J149"/>
      <c r="K149"/>
      <c r="L149"/>
      <c r="N149" s="173"/>
    </row>
    <row r="150" spans="3:14" s="1" customFormat="1" ht="14.5" x14ac:dyDescent="0.35">
      <c r="C150" s="76">
        <v>1013</v>
      </c>
      <c r="D150" s="76">
        <v>2013</v>
      </c>
      <c r="E150" s="76">
        <v>1</v>
      </c>
      <c r="F150" s="182">
        <v>222412.64300000001</v>
      </c>
      <c r="G150" s="181">
        <v>545772.49293660384</v>
      </c>
      <c r="H150" s="183">
        <f t="shared" si="2"/>
        <v>231838.65042107279</v>
      </c>
      <c r="I150"/>
      <c r="J150"/>
      <c r="K150"/>
      <c r="L150"/>
      <c r="N150" s="173"/>
    </row>
    <row r="151" spans="3:14" s="1" customFormat="1" ht="14.5" x14ac:dyDescent="0.35">
      <c r="C151" s="76">
        <v>1014</v>
      </c>
      <c r="D151" s="76">
        <v>2014</v>
      </c>
      <c r="E151" s="76">
        <v>1</v>
      </c>
      <c r="F151" s="182">
        <v>233849.701</v>
      </c>
      <c r="G151" s="181">
        <v>512801.62728526781</v>
      </c>
      <c r="H151" s="183">
        <f t="shared" si="2"/>
        <v>217832.95923152403</v>
      </c>
      <c r="I151"/>
      <c r="J151"/>
      <c r="K151"/>
      <c r="L151"/>
      <c r="N151" s="173"/>
    </row>
    <row r="152" spans="3:14" s="1" customFormat="1" ht="14.5" x14ac:dyDescent="0.35">
      <c r="C152" s="76">
        <v>1015</v>
      </c>
      <c r="D152" s="76">
        <v>2015</v>
      </c>
      <c r="E152" s="76">
        <v>1</v>
      </c>
      <c r="F152" s="182">
        <v>248377.486889666</v>
      </c>
      <c r="G152" s="181">
        <v>553610.46195243625</v>
      </c>
      <c r="H152" s="183">
        <f t="shared" si="2"/>
        <v>235168.14060643443</v>
      </c>
      <c r="I152"/>
      <c r="J152"/>
      <c r="K152"/>
      <c r="L152"/>
      <c r="N152" s="173"/>
    </row>
    <row r="153" spans="3:14" s="1" customFormat="1" ht="14.5" x14ac:dyDescent="0.35">
      <c r="C153" s="76">
        <v>1016</v>
      </c>
      <c r="D153" s="76">
        <v>2016</v>
      </c>
      <c r="E153" s="76">
        <v>1</v>
      </c>
      <c r="F153" s="182">
        <v>211867.16309531001</v>
      </c>
      <c r="G153" s="181">
        <v>448302.59915410174</v>
      </c>
      <c r="H153" s="183">
        <f t="shared" si="2"/>
        <v>190434.42260879741</v>
      </c>
      <c r="I153"/>
      <c r="J153"/>
      <c r="K153"/>
      <c r="L153"/>
      <c r="N153" s="173"/>
    </row>
    <row r="154" spans="3:14" s="1" customFormat="1" ht="14.5" x14ac:dyDescent="0.35">
      <c r="C154" s="76">
        <v>1017</v>
      </c>
      <c r="D154" s="76">
        <v>2017</v>
      </c>
      <c r="E154" s="76">
        <v>1</v>
      </c>
      <c r="F154" s="182">
        <v>248667.39895521599</v>
      </c>
      <c r="G154" s="181">
        <v>511290.96839521598</v>
      </c>
      <c r="H154" s="183">
        <f t="shared" si="2"/>
        <v>217191.24657130594</v>
      </c>
      <c r="I154"/>
      <c r="J154"/>
      <c r="K154"/>
      <c r="L154"/>
      <c r="N154" s="173"/>
    </row>
    <row r="155" spans="3:14" s="1" customFormat="1" ht="14.5" x14ac:dyDescent="0.35">
      <c r="C155" s="76">
        <v>1018</v>
      </c>
      <c r="D155" s="76">
        <v>2018</v>
      </c>
      <c r="E155" s="76">
        <v>1</v>
      </c>
      <c r="F155" s="182">
        <v>249010.83126000001</v>
      </c>
      <c r="G155" s="181">
        <v>610507.46609</v>
      </c>
      <c r="H155" s="183">
        <f t="shared" si="2"/>
        <v>259337.41410953715</v>
      </c>
      <c r="I155"/>
      <c r="J155"/>
      <c r="K155"/>
      <c r="L155"/>
      <c r="N155" s="173"/>
    </row>
    <row r="156" spans="3:14" s="1" customFormat="1" ht="14.5" x14ac:dyDescent="0.35">
      <c r="C156" s="76">
        <v>1019</v>
      </c>
      <c r="D156" s="76">
        <v>2019</v>
      </c>
      <c r="E156" s="76">
        <v>1</v>
      </c>
      <c r="F156" s="182">
        <v>261706.81672</v>
      </c>
      <c r="G156" s="181">
        <v>640289.32848999999</v>
      </c>
      <c r="H156" s="183">
        <f t="shared" si="2"/>
        <v>271988.44888172037</v>
      </c>
      <c r="I156"/>
      <c r="J156"/>
      <c r="K156"/>
      <c r="L156"/>
      <c r="N156" s="173"/>
    </row>
    <row r="157" spans="3:14" s="1" customFormat="1" ht="14.5" x14ac:dyDescent="0.35">
      <c r="C157" s="76">
        <v>1106</v>
      </c>
      <c r="D157" s="76">
        <v>2006</v>
      </c>
      <c r="E157" s="76">
        <v>1</v>
      </c>
      <c r="F157" s="182">
        <v>81250.614026765543</v>
      </c>
      <c r="G157" s="181">
        <v>200451.2543895538</v>
      </c>
      <c r="H157" s="183">
        <f t="shared" si="2"/>
        <v>85149.671143802872</v>
      </c>
      <c r="I157"/>
      <c r="J157"/>
      <c r="K157"/>
      <c r="L157"/>
      <c r="N157" s="173"/>
    </row>
    <row r="158" spans="3:14" s="1" customFormat="1" ht="14.5" x14ac:dyDescent="0.35">
      <c r="C158" s="76">
        <v>1107</v>
      </c>
      <c r="D158" s="76">
        <v>2007</v>
      </c>
      <c r="E158" s="76">
        <v>1</v>
      </c>
      <c r="F158" s="182">
        <v>103209.38645113776</v>
      </c>
      <c r="G158" s="181">
        <v>232909.04760091953</v>
      </c>
      <c r="H158" s="183">
        <f t="shared" si="2"/>
        <v>98937.414335622874</v>
      </c>
      <c r="I158"/>
      <c r="J158"/>
      <c r="K158"/>
      <c r="L158"/>
      <c r="N158" s="173"/>
    </row>
    <row r="159" spans="3:14" s="1" customFormat="1" ht="14.5" x14ac:dyDescent="0.35">
      <c r="C159" s="76">
        <v>1108</v>
      </c>
      <c r="D159" s="76">
        <v>2008</v>
      </c>
      <c r="E159" s="76">
        <v>1</v>
      </c>
      <c r="F159" s="182">
        <v>116017.52463473017</v>
      </c>
      <c r="G159" s="181">
        <v>304950.38267519325</v>
      </c>
      <c r="H159" s="183">
        <f t="shared" si="2"/>
        <v>129539.84687722038</v>
      </c>
      <c r="I159"/>
      <c r="J159"/>
      <c r="K159"/>
      <c r="L159"/>
      <c r="N159" s="173"/>
    </row>
    <row r="160" spans="3:14" s="1" customFormat="1" ht="14.5" x14ac:dyDescent="0.35">
      <c r="C160" s="76">
        <v>1109</v>
      </c>
      <c r="D160" s="76">
        <v>2009</v>
      </c>
      <c r="E160" s="76">
        <v>1</v>
      </c>
      <c r="F160" s="182">
        <v>137883.29635850366</v>
      </c>
      <c r="G160" s="181">
        <v>373651.4202251992</v>
      </c>
      <c r="H160" s="183">
        <f t="shared" si="2"/>
        <v>158723.35472024197</v>
      </c>
      <c r="I160"/>
      <c r="J160"/>
      <c r="K160"/>
      <c r="L160"/>
      <c r="N160" s="173"/>
    </row>
    <row r="161" spans="3:14" s="1" customFormat="1" ht="14.5" x14ac:dyDescent="0.35">
      <c r="C161" s="76">
        <v>1110</v>
      </c>
      <c r="D161" s="76">
        <v>2010</v>
      </c>
      <c r="E161" s="76">
        <v>1</v>
      </c>
      <c r="F161" s="182">
        <v>137860.36087647689</v>
      </c>
      <c r="G161" s="181">
        <v>394805.67222432711</v>
      </c>
      <c r="H161" s="183">
        <f t="shared" si="2"/>
        <v>167709.46761090166</v>
      </c>
      <c r="I161"/>
      <c r="J161"/>
      <c r="K161"/>
      <c r="L161"/>
      <c r="N161" s="173"/>
    </row>
    <row r="162" spans="3:14" s="1" customFormat="1" ht="14.5" x14ac:dyDescent="0.35">
      <c r="C162" s="76">
        <v>1111</v>
      </c>
      <c r="D162" s="76">
        <v>2011</v>
      </c>
      <c r="E162" s="76">
        <v>1</v>
      </c>
      <c r="F162" s="182">
        <v>143839.81850797526</v>
      </c>
      <c r="G162" s="181">
        <v>416224.74761370127</v>
      </c>
      <c r="H162" s="183">
        <f t="shared" si="2"/>
        <v>176808.07480676952</v>
      </c>
      <c r="I162"/>
      <c r="J162"/>
      <c r="K162"/>
      <c r="L162"/>
      <c r="N162" s="173"/>
    </row>
    <row r="163" spans="3:14" s="1" customFormat="1" ht="14.5" x14ac:dyDescent="0.35">
      <c r="C163" s="76">
        <v>1112</v>
      </c>
      <c r="D163" s="76">
        <v>2012</v>
      </c>
      <c r="E163" s="76">
        <v>1</v>
      </c>
      <c r="F163" s="182">
        <v>157205.91921771257</v>
      </c>
      <c r="G163" s="181">
        <v>479446.31520811492</v>
      </c>
      <c r="H163" s="183">
        <f t="shared" si="2"/>
        <v>203663.9590777565</v>
      </c>
      <c r="I163"/>
      <c r="J163"/>
      <c r="K163"/>
      <c r="L163"/>
      <c r="N163" s="173"/>
    </row>
    <row r="164" spans="3:14" s="1" customFormat="1" ht="14.5" x14ac:dyDescent="0.35">
      <c r="C164" s="76">
        <v>1113</v>
      </c>
      <c r="D164" s="76">
        <v>2013</v>
      </c>
      <c r="E164" s="76">
        <v>1</v>
      </c>
      <c r="F164" s="182">
        <v>179574.56650939499</v>
      </c>
      <c r="G164" s="181">
        <v>558995.68268280081</v>
      </c>
      <c r="H164" s="183">
        <f t="shared" si="2"/>
        <v>237455.72805817565</v>
      </c>
      <c r="I164"/>
      <c r="J164"/>
      <c r="K164"/>
      <c r="L164"/>
      <c r="N164" s="173"/>
    </row>
    <row r="165" spans="3:14" s="1" customFormat="1" ht="14.5" x14ac:dyDescent="0.35">
      <c r="C165" s="76">
        <v>1114</v>
      </c>
      <c r="D165" s="76">
        <v>2014</v>
      </c>
      <c r="E165" s="76">
        <v>1</v>
      </c>
      <c r="F165" s="182">
        <v>189806.67514137062</v>
      </c>
      <c r="G165" s="181">
        <v>591012.09271738282</v>
      </c>
      <c r="H165" s="183">
        <f t="shared" si="2"/>
        <v>251055.97612822155</v>
      </c>
      <c r="I165"/>
      <c r="J165"/>
      <c r="K165"/>
      <c r="L165"/>
      <c r="N165" s="173"/>
    </row>
    <row r="166" spans="3:14" s="1" customFormat="1" ht="14.5" x14ac:dyDescent="0.35">
      <c r="C166" s="76">
        <v>1115</v>
      </c>
      <c r="D166" s="76">
        <v>2015</v>
      </c>
      <c r="E166" s="76">
        <v>1</v>
      </c>
      <c r="F166" s="182">
        <v>204651.59938180444</v>
      </c>
      <c r="G166" s="181">
        <v>532805.76729972998</v>
      </c>
      <c r="H166" s="183">
        <f t="shared" si="2"/>
        <v>226330.51615095238</v>
      </c>
      <c r="I166"/>
      <c r="J166"/>
      <c r="K166"/>
      <c r="L166"/>
      <c r="N166" s="173"/>
    </row>
    <row r="167" spans="3:14" s="1" customFormat="1" ht="14.5" x14ac:dyDescent="0.35">
      <c r="C167" s="76">
        <v>1116</v>
      </c>
      <c r="D167" s="76">
        <v>2016</v>
      </c>
      <c r="E167" s="76">
        <v>1</v>
      </c>
      <c r="F167" s="182">
        <v>229428.02527883899</v>
      </c>
      <c r="G167" s="181">
        <v>520934.79308957927</v>
      </c>
      <c r="H167" s="183">
        <f t="shared" si="2"/>
        <v>221287.84603532165</v>
      </c>
      <c r="I167"/>
      <c r="J167"/>
      <c r="K167"/>
      <c r="L167"/>
      <c r="N167" s="173"/>
    </row>
    <row r="168" spans="3:14" s="1" customFormat="1" ht="14.5" x14ac:dyDescent="0.35">
      <c r="C168" s="76">
        <v>1117</v>
      </c>
      <c r="D168" s="76">
        <v>2017</v>
      </c>
      <c r="E168" s="76">
        <v>1</v>
      </c>
      <c r="F168" s="182">
        <v>204947.924709871</v>
      </c>
      <c r="G168" s="181">
        <v>537937.73131156852</v>
      </c>
      <c r="H168" s="183">
        <f t="shared" si="2"/>
        <v>228510.52270297252</v>
      </c>
      <c r="I168"/>
      <c r="J168"/>
      <c r="K168"/>
      <c r="L168"/>
      <c r="N168" s="173"/>
    </row>
    <row r="169" spans="3:14" s="1" customFormat="1" ht="14.5" x14ac:dyDescent="0.35">
      <c r="C169" s="76">
        <v>1118</v>
      </c>
      <c r="D169" s="76">
        <v>2018</v>
      </c>
      <c r="E169" s="76">
        <v>1</v>
      </c>
      <c r="F169" s="182">
        <v>193557.933375539</v>
      </c>
      <c r="G169" s="181">
        <v>561411.52700444276</v>
      </c>
      <c r="H169" s="183">
        <f t="shared" si="2"/>
        <v>238481.95436017058</v>
      </c>
      <c r="I169"/>
      <c r="J169"/>
      <c r="K169"/>
      <c r="L169"/>
      <c r="N169" s="173"/>
    </row>
    <row r="170" spans="3:14" s="1" customFormat="1" ht="14.5" x14ac:dyDescent="0.35">
      <c r="C170" s="76">
        <v>1119</v>
      </c>
      <c r="D170" s="76">
        <v>2019</v>
      </c>
      <c r="E170" s="76">
        <v>1</v>
      </c>
      <c r="F170" s="182">
        <v>204177.44023405801</v>
      </c>
      <c r="G170" s="181">
        <v>599304.05757682165</v>
      </c>
      <c r="H170" s="183">
        <f t="shared" si="2"/>
        <v>254578.31916901411</v>
      </c>
      <c r="I170"/>
      <c r="J170"/>
      <c r="K170"/>
      <c r="L170"/>
      <c r="N170" s="173"/>
    </row>
    <row r="171" spans="3:14" s="1" customFormat="1" ht="14.5" x14ac:dyDescent="0.35">
      <c r="C171" s="76">
        <v>1206</v>
      </c>
      <c r="D171" s="76">
        <v>2006</v>
      </c>
      <c r="E171" s="76">
        <v>1</v>
      </c>
      <c r="F171" s="182">
        <v>48648.823897879505</v>
      </c>
      <c r="G171" s="181">
        <v>150278.76459249845</v>
      </c>
      <c r="H171" s="183">
        <f t="shared" si="2"/>
        <v>63836.90351011874</v>
      </c>
      <c r="I171"/>
      <c r="J171"/>
      <c r="K171"/>
      <c r="L171"/>
      <c r="N171" s="173"/>
    </row>
    <row r="172" spans="3:14" s="1" customFormat="1" ht="14.5" x14ac:dyDescent="0.35">
      <c r="C172" s="76">
        <v>1207</v>
      </c>
      <c r="D172" s="76">
        <v>2007</v>
      </c>
      <c r="E172" s="76">
        <v>1</v>
      </c>
      <c r="F172" s="182">
        <v>50748.109417397798</v>
      </c>
      <c r="G172" s="181">
        <v>136717.79252493844</v>
      </c>
      <c r="H172" s="183">
        <f t="shared" si="2"/>
        <v>58076.33934972201</v>
      </c>
      <c r="I172"/>
      <c r="J172"/>
      <c r="K172"/>
      <c r="L172"/>
      <c r="N172" s="173"/>
    </row>
    <row r="173" spans="3:14" s="1" customFormat="1" ht="14.5" x14ac:dyDescent="0.35">
      <c r="C173" s="76">
        <v>1208</v>
      </c>
      <c r="D173" s="76">
        <v>2008</v>
      </c>
      <c r="E173" s="76">
        <v>1</v>
      </c>
      <c r="F173" s="182">
        <v>53289.0230297776</v>
      </c>
      <c r="G173" s="181">
        <v>151403.15859475598</v>
      </c>
      <c r="H173" s="183">
        <f t="shared" si="2"/>
        <v>64314.534741810756</v>
      </c>
      <c r="I173"/>
      <c r="J173"/>
      <c r="K173"/>
      <c r="L173"/>
      <c r="N173" s="173"/>
    </row>
    <row r="174" spans="3:14" s="1" customFormat="1" ht="14.5" x14ac:dyDescent="0.35">
      <c r="C174" s="76">
        <v>1209</v>
      </c>
      <c r="D174" s="76">
        <v>2009</v>
      </c>
      <c r="E174" s="76">
        <v>1</v>
      </c>
      <c r="F174" s="182">
        <v>61973.7059213752</v>
      </c>
      <c r="G174" s="181">
        <v>176928.3903516127</v>
      </c>
      <c r="H174" s="183">
        <f t="shared" si="2"/>
        <v>75157.395748516283</v>
      </c>
      <c r="I174"/>
      <c r="J174"/>
      <c r="K174"/>
      <c r="L174"/>
      <c r="N174" s="173"/>
    </row>
    <row r="175" spans="3:14" s="1" customFormat="1" ht="14.5" x14ac:dyDescent="0.35">
      <c r="C175" s="76">
        <v>1210</v>
      </c>
      <c r="D175" s="76">
        <v>2010</v>
      </c>
      <c r="E175" s="76">
        <v>1</v>
      </c>
      <c r="F175" s="182">
        <v>75037.978098049192</v>
      </c>
      <c r="G175" s="181">
        <v>208320.76985581941</v>
      </c>
      <c r="H175" s="183">
        <f t="shared" si="2"/>
        <v>88492.561943135821</v>
      </c>
      <c r="I175"/>
      <c r="J175"/>
      <c r="K175"/>
      <c r="L175"/>
      <c r="N175" s="173"/>
    </row>
    <row r="176" spans="3:14" s="1" customFormat="1" ht="14.5" x14ac:dyDescent="0.35">
      <c r="C176" s="76">
        <v>1211</v>
      </c>
      <c r="D176" s="76">
        <v>2011</v>
      </c>
      <c r="E176" s="76">
        <v>1</v>
      </c>
      <c r="F176" s="182">
        <v>74900.179665433403</v>
      </c>
      <c r="G176" s="181">
        <v>204899.03489242183</v>
      </c>
      <c r="H176" s="183">
        <f t="shared" si="2"/>
        <v>87039.043441783215</v>
      </c>
      <c r="I176"/>
      <c r="J176"/>
      <c r="K176"/>
      <c r="L176"/>
      <c r="N176" s="173"/>
    </row>
    <row r="177" spans="3:14" s="1" customFormat="1" ht="14.5" x14ac:dyDescent="0.35">
      <c r="C177" s="76">
        <v>1212</v>
      </c>
      <c r="D177" s="76">
        <v>2012</v>
      </c>
      <c r="E177" s="76">
        <v>1</v>
      </c>
      <c r="F177" s="182">
        <v>84369.777789408996</v>
      </c>
      <c r="G177" s="181">
        <v>189052.68257496468</v>
      </c>
      <c r="H177" s="183">
        <f t="shared" si="2"/>
        <v>80307.672801227949</v>
      </c>
      <c r="I177"/>
      <c r="J177"/>
      <c r="K177"/>
      <c r="L177"/>
      <c r="N177" s="173"/>
    </row>
    <row r="178" spans="3:14" s="1" customFormat="1" ht="14.5" x14ac:dyDescent="0.35">
      <c r="C178" s="76">
        <v>1213</v>
      </c>
      <c r="D178" s="76">
        <v>2013</v>
      </c>
      <c r="E178" s="76">
        <v>1</v>
      </c>
      <c r="F178" s="182">
        <v>70674.63604085501</v>
      </c>
      <c r="G178" s="181">
        <v>155268.21144391398</v>
      </c>
      <c r="H178" s="183">
        <f t="shared" si="2"/>
        <v>65956.370209797606</v>
      </c>
      <c r="I178"/>
      <c r="J178"/>
      <c r="K178"/>
      <c r="L178"/>
      <c r="N178" s="173"/>
    </row>
    <row r="179" spans="3:14" s="1" customFormat="1" ht="14.5" x14ac:dyDescent="0.35">
      <c r="C179" s="76">
        <v>1214</v>
      </c>
      <c r="D179" s="76">
        <v>2014</v>
      </c>
      <c r="E179" s="76">
        <v>1</v>
      </c>
      <c r="F179" s="182">
        <v>74075.862810526407</v>
      </c>
      <c r="G179" s="181">
        <v>169552.98696470115</v>
      </c>
      <c r="H179" s="183">
        <f t="shared" si="2"/>
        <v>72024.398776953632</v>
      </c>
      <c r="I179"/>
      <c r="J179"/>
      <c r="K179"/>
      <c r="L179"/>
      <c r="N179" s="173"/>
    </row>
    <row r="180" spans="3:14" s="1" customFormat="1" ht="14.5" x14ac:dyDescent="0.35">
      <c r="C180" s="76">
        <v>1215</v>
      </c>
      <c r="D180" s="76">
        <v>2015</v>
      </c>
      <c r="E180" s="76">
        <v>1</v>
      </c>
      <c r="F180" s="182">
        <v>64088.129960287195</v>
      </c>
      <c r="G180" s="181">
        <v>147290.58920976758</v>
      </c>
      <c r="H180" s="183">
        <f t="shared" si="2"/>
        <v>62567.556745817317</v>
      </c>
      <c r="I180"/>
      <c r="J180"/>
      <c r="K180"/>
      <c r="L180"/>
      <c r="N180" s="173"/>
    </row>
    <row r="181" spans="3:14" s="1" customFormat="1" ht="14.5" x14ac:dyDescent="0.35">
      <c r="C181" s="76">
        <v>1216</v>
      </c>
      <c r="D181" s="76">
        <v>2016</v>
      </c>
      <c r="E181" s="76">
        <v>1</v>
      </c>
      <c r="F181" s="182">
        <v>69929.810763066795</v>
      </c>
      <c r="G181" s="181">
        <v>169324.14953708381</v>
      </c>
      <c r="H181" s="183">
        <f t="shared" si="2"/>
        <v>71927.19094572129</v>
      </c>
      <c r="I181"/>
      <c r="J181"/>
      <c r="K181"/>
      <c r="L181"/>
      <c r="N181" s="173"/>
    </row>
    <row r="182" spans="3:14" s="1" customFormat="1" ht="14.5" x14ac:dyDescent="0.35">
      <c r="C182" s="76">
        <v>1217</v>
      </c>
      <c r="D182" s="76">
        <v>2017</v>
      </c>
      <c r="E182" s="76">
        <v>1</v>
      </c>
      <c r="F182" s="182">
        <v>93577.683630547996</v>
      </c>
      <c r="G182" s="181">
        <v>222810.27279416134</v>
      </c>
      <c r="H182" s="183">
        <f t="shared" si="2"/>
        <v>94647.556652419502</v>
      </c>
      <c r="I182"/>
      <c r="J182"/>
      <c r="K182"/>
      <c r="L182"/>
      <c r="N182" s="173"/>
    </row>
    <row r="183" spans="3:14" s="1" customFormat="1" ht="14.5" x14ac:dyDescent="0.35">
      <c r="C183" s="76">
        <v>1218</v>
      </c>
      <c r="D183" s="76">
        <v>2018</v>
      </c>
      <c r="E183" s="76">
        <v>1</v>
      </c>
      <c r="F183" s="182">
        <v>86416.346934444198</v>
      </c>
      <c r="G183" s="181">
        <v>240509.79692578741</v>
      </c>
      <c r="H183" s="183">
        <f t="shared" si="2"/>
        <v>102166.13598882452</v>
      </c>
      <c r="I183"/>
      <c r="J183"/>
      <c r="K183"/>
      <c r="L183"/>
      <c r="N183" s="173"/>
    </row>
    <row r="184" spans="3:14" s="1" customFormat="1" ht="14.5" x14ac:dyDescent="0.35">
      <c r="C184" s="76">
        <v>1219</v>
      </c>
      <c r="D184" s="76">
        <v>2019</v>
      </c>
      <c r="E184" s="76">
        <v>1</v>
      </c>
      <c r="F184" s="182">
        <v>78404.001088851903</v>
      </c>
      <c r="G184" s="181">
        <v>182968.39263138146</v>
      </c>
      <c r="H184" s="183">
        <f t="shared" si="2"/>
        <v>77723.127798417248</v>
      </c>
      <c r="I184"/>
      <c r="J184"/>
      <c r="K184"/>
      <c r="L184"/>
      <c r="N184" s="173"/>
    </row>
    <row r="185" spans="3:14" s="1" customFormat="1" ht="14.5" x14ac:dyDescent="0.35">
      <c r="C185" s="76">
        <v>1306</v>
      </c>
      <c r="D185" s="76">
        <v>2006</v>
      </c>
      <c r="E185" s="76">
        <v>1</v>
      </c>
      <c r="F185" s="182">
        <v>83237</v>
      </c>
      <c r="G185" s="181">
        <v>163705.17878147223</v>
      </c>
      <c r="H185" s="183">
        <f t="shared" si="2"/>
        <v>69540.308840822356</v>
      </c>
      <c r="I185"/>
      <c r="J185"/>
      <c r="K185"/>
      <c r="L185"/>
      <c r="N185" s="173"/>
    </row>
    <row r="186" spans="3:14" s="1" customFormat="1" ht="14.5" x14ac:dyDescent="0.35">
      <c r="C186" s="76">
        <v>1307</v>
      </c>
      <c r="D186" s="76">
        <v>2007</v>
      </c>
      <c r="E186" s="76">
        <v>1</v>
      </c>
      <c r="F186" s="182">
        <v>81473</v>
      </c>
      <c r="G186" s="181">
        <v>152229.84303585353</v>
      </c>
      <c r="H186" s="183">
        <f t="shared" si="2"/>
        <v>64665.701954575394</v>
      </c>
      <c r="I186"/>
      <c r="J186"/>
      <c r="K186"/>
      <c r="L186"/>
    </row>
    <row r="187" spans="3:14" s="1" customFormat="1" ht="14.5" x14ac:dyDescent="0.35">
      <c r="C187" s="76">
        <v>1308</v>
      </c>
      <c r="D187" s="76">
        <v>2008</v>
      </c>
      <c r="E187" s="76">
        <v>1</v>
      </c>
      <c r="F187" s="182">
        <v>85413.886309046997</v>
      </c>
      <c r="G187" s="181">
        <v>158904.52633573161</v>
      </c>
      <c r="H187" s="183">
        <f t="shared" si="2"/>
        <v>67501.040100522514</v>
      </c>
      <c r="I187"/>
      <c r="J187"/>
      <c r="K187"/>
      <c r="L187"/>
    </row>
    <row r="188" spans="3:14" s="1" customFormat="1" ht="14.5" x14ac:dyDescent="0.35">
      <c r="C188" s="76">
        <v>1309</v>
      </c>
      <c r="D188" s="76">
        <v>2009</v>
      </c>
      <c r="E188" s="76">
        <v>1</v>
      </c>
      <c r="F188" s="182">
        <v>89047.922493129998</v>
      </c>
      <c r="G188" s="181">
        <v>194544.5243103106</v>
      </c>
      <c r="H188" s="183">
        <f t="shared" si="2"/>
        <v>82640.551780522015</v>
      </c>
      <c r="I188"/>
      <c r="J188"/>
      <c r="K188"/>
      <c r="L188"/>
    </row>
    <row r="189" spans="3:14" s="1" customFormat="1" ht="14.5" x14ac:dyDescent="0.35">
      <c r="C189" s="76">
        <v>1310</v>
      </c>
      <c r="D189" s="76">
        <v>2010</v>
      </c>
      <c r="E189" s="76">
        <v>1</v>
      </c>
      <c r="F189" s="182">
        <v>96130.066559793398</v>
      </c>
      <c r="G189" s="181">
        <v>213171.10917777021</v>
      </c>
      <c r="H189" s="183">
        <f t="shared" si="2"/>
        <v>90552.937167315467</v>
      </c>
      <c r="I189"/>
      <c r="J189"/>
      <c r="K189"/>
      <c r="L189"/>
    </row>
    <row r="190" spans="3:14" s="1" customFormat="1" ht="14.5" x14ac:dyDescent="0.35">
      <c r="C190" s="76">
        <v>1311</v>
      </c>
      <c r="D190" s="76">
        <v>2011</v>
      </c>
      <c r="E190" s="76">
        <v>1</v>
      </c>
      <c r="F190" s="182">
        <v>121992.755514909</v>
      </c>
      <c r="G190" s="181">
        <v>297841.63521834824</v>
      </c>
      <c r="H190" s="183">
        <f t="shared" si="2"/>
        <v>126520.12265529881</v>
      </c>
      <c r="I190"/>
      <c r="J190"/>
      <c r="K190"/>
      <c r="L190"/>
    </row>
    <row r="191" spans="3:14" s="1" customFormat="1" ht="14.5" x14ac:dyDescent="0.35">
      <c r="C191" s="76">
        <v>1312</v>
      </c>
      <c r="D191" s="76">
        <v>2012</v>
      </c>
      <c r="E191" s="76">
        <v>1</v>
      </c>
      <c r="F191" s="182">
        <v>126519.882999029</v>
      </c>
      <c r="G191" s="181">
        <v>318683.02777227206</v>
      </c>
      <c r="H191" s="183">
        <f t="shared" si="2"/>
        <v>135373.33600908861</v>
      </c>
      <c r="I191"/>
      <c r="J191"/>
      <c r="K191"/>
      <c r="L191"/>
    </row>
    <row r="192" spans="3:14" s="1" customFormat="1" ht="14.5" x14ac:dyDescent="0.35">
      <c r="C192" s="76">
        <v>1313</v>
      </c>
      <c r="D192" s="76">
        <v>2013</v>
      </c>
      <c r="E192" s="76">
        <v>1</v>
      </c>
      <c r="F192" s="182">
        <v>116175.49106407601</v>
      </c>
      <c r="G192" s="181">
        <v>296329.52670787164</v>
      </c>
      <c r="H192" s="183">
        <f t="shared" si="2"/>
        <v>125877.79421094492</v>
      </c>
      <c r="I192"/>
      <c r="J192"/>
      <c r="K192"/>
      <c r="L192"/>
    </row>
    <row r="193" spans="3:12" s="1" customFormat="1" ht="14.5" x14ac:dyDescent="0.35">
      <c r="C193" s="76">
        <v>1314</v>
      </c>
      <c r="D193" s="76">
        <v>2014</v>
      </c>
      <c r="E193" s="76">
        <v>1</v>
      </c>
      <c r="F193" s="182">
        <v>121867.70902049799</v>
      </c>
      <c r="G193" s="181">
        <v>327440.97805486032</v>
      </c>
      <c r="H193" s="183">
        <f t="shared" si="2"/>
        <v>139093.62495777692</v>
      </c>
      <c r="I193"/>
      <c r="J193"/>
      <c r="K193"/>
      <c r="L193"/>
    </row>
    <row r="194" spans="3:12" s="1" customFormat="1" ht="14.5" x14ac:dyDescent="0.35">
      <c r="C194" s="76">
        <v>1315</v>
      </c>
      <c r="D194" s="76">
        <v>2015</v>
      </c>
      <c r="E194" s="76">
        <v>1</v>
      </c>
      <c r="F194" s="182">
        <v>117721.494565381</v>
      </c>
      <c r="G194" s="181">
        <v>322433.23582678614</v>
      </c>
      <c r="H194" s="183">
        <f t="shared" si="2"/>
        <v>136966.38656661785</v>
      </c>
      <c r="I194"/>
      <c r="J194"/>
      <c r="K194"/>
      <c r="L194"/>
    </row>
    <row r="195" spans="3:12" s="1" customFormat="1" ht="14.5" x14ac:dyDescent="0.35">
      <c r="C195" s="76">
        <v>1316</v>
      </c>
      <c r="D195" s="76">
        <v>2016</v>
      </c>
      <c r="E195" s="76">
        <v>1</v>
      </c>
      <c r="F195" s="182">
        <v>138427.94329502599</v>
      </c>
      <c r="G195" s="181">
        <v>305514.33834655106</v>
      </c>
      <c r="H195" s="183">
        <f t="shared" si="2"/>
        <v>129779.409558442</v>
      </c>
      <c r="I195"/>
      <c r="J195"/>
      <c r="K195"/>
      <c r="L195"/>
    </row>
    <row r="196" spans="3:12" s="1" customFormat="1" ht="14.5" x14ac:dyDescent="0.35">
      <c r="C196" s="76">
        <v>1317</v>
      </c>
      <c r="D196" s="76">
        <v>2017</v>
      </c>
      <c r="E196" s="76">
        <v>1</v>
      </c>
      <c r="F196" s="182">
        <v>132835.09312937901</v>
      </c>
      <c r="G196" s="181">
        <v>284198.70825919067</v>
      </c>
      <c r="H196" s="183">
        <f t="shared" si="2"/>
        <v>120724.74488353601</v>
      </c>
      <c r="I196"/>
      <c r="J196"/>
      <c r="K196"/>
      <c r="L196"/>
    </row>
    <row r="197" spans="3:12" s="1" customFormat="1" ht="14.5" x14ac:dyDescent="0.35">
      <c r="C197" s="76">
        <v>1318</v>
      </c>
      <c r="D197" s="76">
        <v>2018</v>
      </c>
      <c r="E197" s="76">
        <v>1</v>
      </c>
      <c r="F197" s="182">
        <v>108242.14191396099</v>
      </c>
      <c r="G197" s="181">
        <v>237069.9216967664</v>
      </c>
      <c r="H197" s="183">
        <f t="shared" si="2"/>
        <v>100704.91168559503</v>
      </c>
      <c r="I197"/>
      <c r="J197"/>
      <c r="K197"/>
      <c r="L197"/>
    </row>
    <row r="198" spans="3:12" s="1" customFormat="1" ht="14.5" x14ac:dyDescent="0.35">
      <c r="C198" s="76">
        <v>1319</v>
      </c>
      <c r="D198" s="76">
        <v>2019</v>
      </c>
      <c r="E198" s="76">
        <v>1</v>
      </c>
      <c r="F198" s="182">
        <v>110815.785</v>
      </c>
      <c r="G198" s="181">
        <v>246373.717</v>
      </c>
      <c r="H198" s="183">
        <f t="shared" si="2"/>
        <v>104657.07009374358</v>
      </c>
      <c r="I198"/>
      <c r="J198"/>
      <c r="K198"/>
      <c r="L198"/>
    </row>
    <row r="239" spans="3:20" s="30" customFormat="1" ht="14.5" x14ac:dyDescent="0.35"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3:20" s="31" customFormat="1" ht="14.5" x14ac:dyDescent="0.35"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3:20" s="30" customFormat="1" ht="14.5" x14ac:dyDescent="0.35"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3:20" s="30" customFormat="1" ht="14.5" x14ac:dyDescent="0.35"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3:20" s="30" customFormat="1" ht="14.5" x14ac:dyDescent="0.35"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3:20" s="30" customFormat="1" ht="14.5" x14ac:dyDescent="0.35"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3:20" s="30" customFormat="1" ht="14.5" x14ac:dyDescent="0.35"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3:20" s="30" customFormat="1" ht="14.5" x14ac:dyDescent="0.35"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3:20" s="30" customFormat="1" ht="14.5" x14ac:dyDescent="0.35"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3:20" s="30" customFormat="1" ht="14.5" x14ac:dyDescent="0.35"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3:20" s="30" customFormat="1" ht="14.5" x14ac:dyDescent="0.35"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3:20" s="30" customFormat="1" ht="14.5" x14ac:dyDescent="0.35"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3:20" s="30" customFormat="1" ht="14.5" x14ac:dyDescent="0.35"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3:20" s="30" customFormat="1" ht="14.5" x14ac:dyDescent="0.35"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3:20" s="30" customFormat="1" ht="14.5" x14ac:dyDescent="0.35"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3:20" s="30" customFormat="1" ht="14.5" x14ac:dyDescent="0.35"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3:20" s="30" customFormat="1" ht="14.5" x14ac:dyDescent="0.35"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3:20" s="30" customFormat="1" ht="14.5" x14ac:dyDescent="0.35"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s="30" customFormat="1" ht="14.5" x14ac:dyDescent="0.35"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s="30" customFormat="1" ht="14.5" x14ac:dyDescent="0.35"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s="30" customFormat="1" ht="14.5" x14ac:dyDescent="0.35"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s="30" customFormat="1" ht="14.5" x14ac:dyDescent="0.35"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s="30" customFormat="1" ht="14.5" x14ac:dyDescent="0.35"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s="30" customFormat="1" ht="14.5" x14ac:dyDescent="0.35"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s="30" customFormat="1" ht="14.5" x14ac:dyDescent="0.35"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s="30" customFormat="1" ht="14.5" x14ac:dyDescent="0.35"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1:20" s="30" customFormat="1" ht="11.25" customHeight="1" x14ac:dyDescent="0.35">
      <c r="A265" s="34"/>
      <c r="J265" s="36"/>
    </row>
    <row r="266" spans="1:20" s="24" customFormat="1" ht="13" x14ac:dyDescent="0.3">
      <c r="B266" s="25" t="s">
        <v>122</v>
      </c>
      <c r="C266" s="26"/>
    </row>
    <row r="267" spans="1:20" s="30" customFormat="1" ht="14.5" x14ac:dyDescent="0.35">
      <c r="A267" s="32"/>
    </row>
    <row r="268" spans="1:20" s="30" customFormat="1" ht="14.5" x14ac:dyDescent="0.35">
      <c r="A268" s="32"/>
    </row>
    <row r="269" spans="1:20" s="30" customFormat="1" ht="14.5" x14ac:dyDescent="0.35"/>
    <row r="270" spans="1:20" s="30" customFormat="1" ht="14.5" x14ac:dyDescent="0.35">
      <c r="B270" s="37"/>
      <c r="C270" s="38"/>
      <c r="D270" s="37"/>
      <c r="E270" s="37"/>
      <c r="F270" s="37"/>
      <c r="G270" s="37"/>
      <c r="H270" s="37"/>
      <c r="I270" s="37"/>
      <c r="J270" s="39"/>
    </row>
    <row r="271" spans="1:20" s="30" customFormat="1" ht="14.5" x14ac:dyDescent="0.35">
      <c r="B271" s="37"/>
      <c r="C271" s="38"/>
      <c r="D271" s="37"/>
      <c r="E271" s="37"/>
      <c r="F271" s="37"/>
      <c r="G271" s="37"/>
      <c r="H271" s="37"/>
      <c r="I271" s="37"/>
      <c r="J271" s="39"/>
    </row>
    <row r="272" spans="1:20" s="30" customFormat="1" ht="14.5" x14ac:dyDescent="0.35"/>
    <row r="273" spans="9:9" s="30" customFormat="1" ht="14.5" x14ac:dyDescent="0.35">
      <c r="I273" s="40"/>
    </row>
    <row r="274" spans="9:9" x14ac:dyDescent="0.25">
      <c r="I274" s="41"/>
    </row>
  </sheetData>
  <pageMargins left="0.75" right="0.75" top="1" bottom="1" header="0.5" footer="0.5"/>
  <pageSetup paperSize="9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T50"/>
  <sheetViews>
    <sheetView showGridLines="0" zoomScaleNormal="100" zoomScalePageLayoutView="150" workbookViewId="0">
      <pane ySplit="13" topLeftCell="A14" activePane="bottomLeft" state="frozen"/>
      <selection pane="bottomLeft" activeCell="A14" sqref="A14"/>
    </sheetView>
  </sheetViews>
  <sheetFormatPr defaultColWidth="9" defaultRowHeight="12.5" x14ac:dyDescent="0.25"/>
  <cols>
    <col min="1" max="2" width="1.26953125" customWidth="1"/>
    <col min="3" max="3" width="58.453125" customWidth="1"/>
    <col min="4" max="19" width="10.26953125" customWidth="1"/>
    <col min="20" max="36" width="10.453125" customWidth="1"/>
  </cols>
  <sheetData>
    <row r="1" spans="2:20" s="13" customFormat="1" ht="15.5" x14ac:dyDescent="0.2">
      <c r="B1" s="14"/>
      <c r="C1" s="15" t="str">
        <f>'Output|Benchmarking Results'!C1</f>
        <v>JEN - Benchmarking analysis on common capitalisation</v>
      </c>
      <c r="D1" s="15"/>
      <c r="E1" s="15"/>
      <c r="F1" s="27" t="s">
        <v>7</v>
      </c>
      <c r="G1" s="4" t="s">
        <v>8</v>
      </c>
      <c r="H1" s="5" t="s">
        <v>9</v>
      </c>
      <c r="I1" s="6" t="s">
        <v>10</v>
      </c>
      <c r="J1" s="7" t="s">
        <v>11</v>
      </c>
      <c r="K1" s="8" t="s">
        <v>12</v>
      </c>
      <c r="L1" s="9" t="s">
        <v>13</v>
      </c>
      <c r="M1" s="10" t="s">
        <v>14</v>
      </c>
    </row>
    <row r="2" spans="2:20" s="16" customFormat="1" ht="13.5" thickBot="1" x14ac:dyDescent="0.35">
      <c r="B2" s="17"/>
      <c r="C2" s="18" t="s">
        <v>139</v>
      </c>
      <c r="D2" s="19"/>
      <c r="E2" s="19"/>
      <c r="F2" s="19"/>
      <c r="G2" s="20"/>
      <c r="H2" s="20"/>
    </row>
    <row r="3" spans="2:20" s="21" customFormat="1" ht="11.25" customHeight="1" x14ac:dyDescent="0.3">
      <c r="B3" s="22"/>
      <c r="C3" s="23"/>
    </row>
    <row r="4" spans="2:20" s="11" customFormat="1" ht="3" customHeight="1" x14ac:dyDescent="0.2">
      <c r="B4" s="12"/>
    </row>
    <row r="5" spans="2:20" s="11" customFormat="1" ht="9" customHeight="1" x14ac:dyDescent="0.2">
      <c r="B5" s="12" t="s">
        <v>15</v>
      </c>
    </row>
    <row r="6" spans="2:20" s="11" customFormat="1" ht="3" customHeight="1" x14ac:dyDescent="0.2">
      <c r="B6" s="12"/>
    </row>
    <row r="7" spans="2:20" s="24" customFormat="1" ht="13" x14ac:dyDescent="0.3">
      <c r="B7" s="25" t="s">
        <v>123</v>
      </c>
      <c r="C7" s="26"/>
    </row>
    <row r="9" spans="2:20" ht="14.5" x14ac:dyDescent="0.35">
      <c r="C9" s="54" t="s">
        <v>124</v>
      </c>
    </row>
    <row r="10" spans="2:20" ht="14.5" x14ac:dyDescent="0.35">
      <c r="C10" s="54" t="s">
        <v>127</v>
      </c>
    </row>
    <row r="11" spans="2:20" ht="14.5" x14ac:dyDescent="0.35">
      <c r="C11" s="54" t="s">
        <v>126</v>
      </c>
    </row>
    <row r="13" spans="2:20" s="52" customFormat="1" x14ac:dyDescent="0.25">
      <c r="C13" s="53" t="str">
        <f>C15</f>
        <v>Opex Cost Drivers – JEN</v>
      </c>
    </row>
    <row r="15" spans="2:20" s="30" customFormat="1" ht="14.5" x14ac:dyDescent="0.35">
      <c r="C15" s="75" t="s">
        <v>17</v>
      </c>
      <c r="D15" s="76"/>
      <c r="E15" s="76"/>
      <c r="F15" s="76">
        <v>806</v>
      </c>
      <c r="G15" s="76">
        <f t="shared" ref="G15:S15" si="0">F15+1</f>
        <v>807</v>
      </c>
      <c r="H15" s="76">
        <f t="shared" si="0"/>
        <v>808</v>
      </c>
      <c r="I15" s="76">
        <f t="shared" si="0"/>
        <v>809</v>
      </c>
      <c r="J15" s="76">
        <f t="shared" si="0"/>
        <v>810</v>
      </c>
      <c r="K15" s="76">
        <f t="shared" si="0"/>
        <v>811</v>
      </c>
      <c r="L15" s="76">
        <f t="shared" si="0"/>
        <v>812</v>
      </c>
      <c r="M15" s="76">
        <f t="shared" si="0"/>
        <v>813</v>
      </c>
      <c r="N15" s="76">
        <f t="shared" si="0"/>
        <v>814</v>
      </c>
      <c r="O15" s="76">
        <f t="shared" si="0"/>
        <v>815</v>
      </c>
      <c r="P15" s="76">
        <f t="shared" si="0"/>
        <v>816</v>
      </c>
      <c r="Q15" s="76">
        <f t="shared" si="0"/>
        <v>817</v>
      </c>
      <c r="R15" s="76">
        <f t="shared" si="0"/>
        <v>818</v>
      </c>
      <c r="S15" s="76">
        <f t="shared" si="0"/>
        <v>819</v>
      </c>
    </row>
    <row r="16" spans="2:20" s="31" customFormat="1" ht="14.5" x14ac:dyDescent="0.35">
      <c r="C16" s="77"/>
      <c r="D16" s="77"/>
      <c r="E16" s="77"/>
      <c r="F16" s="77" t="s">
        <v>18</v>
      </c>
      <c r="G16" s="77" t="s">
        <v>18</v>
      </c>
      <c r="H16" s="77" t="s">
        <v>18</v>
      </c>
      <c r="I16" s="77" t="s">
        <v>18</v>
      </c>
      <c r="J16" s="77" t="s">
        <v>18</v>
      </c>
      <c r="K16" s="77" t="s">
        <v>18</v>
      </c>
      <c r="L16" s="77" t="s">
        <v>18</v>
      </c>
      <c r="M16" s="77" t="s">
        <v>18</v>
      </c>
      <c r="N16" s="77" t="s">
        <v>18</v>
      </c>
      <c r="O16" s="77" t="s">
        <v>18</v>
      </c>
      <c r="P16" s="77" t="s">
        <v>18</v>
      </c>
      <c r="Q16" s="77" t="s">
        <v>18</v>
      </c>
      <c r="R16" s="77" t="s">
        <v>18</v>
      </c>
      <c r="S16" s="77" t="s">
        <v>18</v>
      </c>
      <c r="T16" s="30"/>
    </row>
    <row r="17" spans="3:19" s="30" customFormat="1" ht="14.5" x14ac:dyDescent="0.35">
      <c r="C17" s="78" t="s">
        <v>19</v>
      </c>
      <c r="D17" s="79" t="s">
        <v>20</v>
      </c>
      <c r="E17" s="79"/>
      <c r="F17" s="80" t="s">
        <v>21</v>
      </c>
      <c r="G17" s="80" t="s">
        <v>22</v>
      </c>
      <c r="H17" s="80" t="s">
        <v>23</v>
      </c>
      <c r="I17" s="80" t="s">
        <v>24</v>
      </c>
      <c r="J17" s="80" t="s">
        <v>25</v>
      </c>
      <c r="K17" s="80" t="s">
        <v>26</v>
      </c>
      <c r="L17" s="80" t="s">
        <v>27</v>
      </c>
      <c r="M17" s="80" t="s">
        <v>28</v>
      </c>
      <c r="N17" s="80" t="s">
        <v>29</v>
      </c>
      <c r="O17" s="80" t="s">
        <v>30</v>
      </c>
      <c r="P17" s="80" t="s">
        <v>31</v>
      </c>
      <c r="Q17" s="80" t="s">
        <v>32</v>
      </c>
      <c r="R17" s="80" t="s">
        <v>33</v>
      </c>
      <c r="S17" s="80" t="s">
        <v>34</v>
      </c>
    </row>
    <row r="18" spans="3:19" s="30" customFormat="1" ht="14.5" x14ac:dyDescent="0.35">
      <c r="C18" s="76"/>
      <c r="D18" s="76"/>
      <c r="E18" s="76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</row>
    <row r="19" spans="3:19" s="30" customFormat="1" ht="14.5" x14ac:dyDescent="0.35">
      <c r="C19" s="81" t="s">
        <v>35</v>
      </c>
      <c r="D19" s="82" t="s">
        <v>36</v>
      </c>
      <c r="E19" s="156"/>
      <c r="F19" s="155">
        <v>293175.49999997998</v>
      </c>
      <c r="G19" s="155">
        <v>299118.49999998999</v>
      </c>
      <c r="H19" s="155">
        <v>302627.49999998999</v>
      </c>
      <c r="I19" s="155">
        <v>305242.99999997998</v>
      </c>
      <c r="J19" s="155">
        <v>309597.99999998999</v>
      </c>
      <c r="K19" s="155">
        <v>307191</v>
      </c>
      <c r="L19" s="155">
        <v>312839</v>
      </c>
      <c r="M19" s="155">
        <v>319591</v>
      </c>
      <c r="N19" s="155">
        <v>325927.00000000006</v>
      </c>
      <c r="O19" s="155">
        <v>332267</v>
      </c>
      <c r="P19" s="155">
        <v>339467</v>
      </c>
      <c r="Q19" s="155">
        <v>346887</v>
      </c>
      <c r="R19" s="155">
        <v>353729</v>
      </c>
      <c r="S19" s="155">
        <v>360430.99999999994</v>
      </c>
    </row>
    <row r="20" spans="3:19" s="30" customFormat="1" ht="14.5" x14ac:dyDescent="0.35">
      <c r="C20" s="81" t="s">
        <v>37</v>
      </c>
      <c r="D20" s="82" t="s">
        <v>38</v>
      </c>
      <c r="E20" s="156"/>
      <c r="F20" s="155">
        <v>5718.7325857100004</v>
      </c>
      <c r="G20" s="155">
        <v>5769.8560802100001</v>
      </c>
      <c r="H20" s="155">
        <v>5868.0882146499998</v>
      </c>
      <c r="I20" s="155">
        <v>5926.7301499999994</v>
      </c>
      <c r="J20" s="155">
        <v>5970.9719999999998</v>
      </c>
      <c r="K20" s="155">
        <v>6041.5939481299993</v>
      </c>
      <c r="L20" s="155">
        <v>6102.4391066500002</v>
      </c>
      <c r="M20" s="155">
        <v>6134.8447602399992</v>
      </c>
      <c r="N20" s="155">
        <v>6160.5729461899991</v>
      </c>
      <c r="O20" s="155">
        <v>6246.3146799999995</v>
      </c>
      <c r="P20" s="155">
        <v>6300.9202911100001</v>
      </c>
      <c r="Q20" s="155">
        <v>6344.7098376100002</v>
      </c>
      <c r="R20" s="155">
        <v>6567.6</v>
      </c>
      <c r="S20" s="155">
        <v>6627.926915</v>
      </c>
    </row>
    <row r="21" spans="3:19" s="30" customFormat="1" ht="14.5" x14ac:dyDescent="0.35">
      <c r="C21" s="81" t="s">
        <v>39</v>
      </c>
      <c r="D21" s="82" t="s">
        <v>40</v>
      </c>
      <c r="E21" s="156"/>
      <c r="F21" s="155">
        <v>836.98500799999999</v>
      </c>
      <c r="G21" s="155">
        <v>901.72535600000003</v>
      </c>
      <c r="H21" s="155">
        <v>958.34431600000005</v>
      </c>
      <c r="I21" s="155">
        <v>1019.66512</v>
      </c>
      <c r="J21" s="155">
        <v>993.45596399999999</v>
      </c>
      <c r="K21" s="155">
        <v>1017.041108</v>
      </c>
      <c r="L21" s="155">
        <v>892.449252</v>
      </c>
      <c r="M21" s="155">
        <v>977</v>
      </c>
      <c r="N21" s="155">
        <v>1013.2929901</v>
      </c>
      <c r="O21" s="155">
        <v>876.42929976000005</v>
      </c>
      <c r="P21" s="155">
        <v>987.00584000000003</v>
      </c>
      <c r="Q21" s="155">
        <v>956.53558655999996</v>
      </c>
      <c r="R21" s="155">
        <v>982.80725600000005</v>
      </c>
      <c r="S21" s="155">
        <v>1026.0431919615999</v>
      </c>
    </row>
    <row r="22" spans="3:19" s="30" customFormat="1" ht="14.5" x14ac:dyDescent="0.35">
      <c r="C22" s="81" t="s">
        <v>41</v>
      </c>
      <c r="D22" s="82" t="s">
        <v>40</v>
      </c>
      <c r="E22" s="82"/>
      <c r="F22" s="158">
        <f>MAX(F21)</f>
        <v>836.98500799999999</v>
      </c>
      <c r="G22" s="158">
        <f t="shared" ref="G22:S22" si="1">MAX(F22,G21)</f>
        <v>901.72535600000003</v>
      </c>
      <c r="H22" s="158">
        <f t="shared" si="1"/>
        <v>958.34431600000005</v>
      </c>
      <c r="I22" s="158">
        <f t="shared" si="1"/>
        <v>1019.66512</v>
      </c>
      <c r="J22" s="158">
        <f t="shared" si="1"/>
        <v>1019.66512</v>
      </c>
      <c r="K22" s="158">
        <f t="shared" si="1"/>
        <v>1019.66512</v>
      </c>
      <c r="L22" s="158">
        <f t="shared" si="1"/>
        <v>1019.66512</v>
      </c>
      <c r="M22" s="158">
        <f t="shared" si="1"/>
        <v>1019.66512</v>
      </c>
      <c r="N22" s="158">
        <f t="shared" si="1"/>
        <v>1019.66512</v>
      </c>
      <c r="O22" s="158">
        <f t="shared" si="1"/>
        <v>1019.66512</v>
      </c>
      <c r="P22" s="158">
        <f t="shared" si="1"/>
        <v>1019.66512</v>
      </c>
      <c r="Q22" s="158">
        <f t="shared" si="1"/>
        <v>1019.66512</v>
      </c>
      <c r="R22" s="158">
        <f t="shared" si="1"/>
        <v>1019.66512</v>
      </c>
      <c r="S22" s="158">
        <f t="shared" si="1"/>
        <v>1026.0431919615999</v>
      </c>
    </row>
    <row r="23" spans="3:19" s="30" customFormat="1" ht="14.5" x14ac:dyDescent="0.35">
      <c r="C23" s="81" t="s">
        <v>42</v>
      </c>
      <c r="D23" s="82" t="s">
        <v>38</v>
      </c>
      <c r="E23" s="15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3:19" s="30" customFormat="1" ht="14.5" x14ac:dyDescent="0.35">
      <c r="C24" s="81" t="s">
        <v>43</v>
      </c>
      <c r="D24" s="82" t="s">
        <v>44</v>
      </c>
      <c r="E24" s="156"/>
      <c r="F24" s="161">
        <v>0.22747879639112203</v>
      </c>
      <c r="G24" s="161">
        <v>0.23299200141419674</v>
      </c>
      <c r="H24" s="161">
        <v>0.24125000120067852</v>
      </c>
      <c r="I24" s="161">
        <v>0.24689266812662292</v>
      </c>
      <c r="J24" s="161">
        <v>0.25241437742464712</v>
      </c>
      <c r="K24" s="161">
        <v>0.25914262010683403</v>
      </c>
      <c r="L24" s="161">
        <v>0.26710795003652427</v>
      </c>
      <c r="M24" s="161">
        <v>0.27372815871779377</v>
      </c>
      <c r="N24" s="161">
        <v>0.28001709531365349</v>
      </c>
      <c r="O24" s="161">
        <v>0.28743671300274615</v>
      </c>
      <c r="P24" s="161">
        <v>0.29381561869970341</v>
      </c>
      <c r="Q24" s="161">
        <v>0.29818470522879914</v>
      </c>
      <c r="R24" s="161">
        <v>0.3164169559656495</v>
      </c>
      <c r="S24" s="161">
        <v>0.32442899002606157</v>
      </c>
    </row>
    <row r="25" spans="3:19" s="30" customFormat="1" ht="14.5" x14ac:dyDescent="0.35">
      <c r="C25" s="184" t="s">
        <v>167</v>
      </c>
      <c r="D25" s="186" t="s">
        <v>45</v>
      </c>
      <c r="E25" s="187"/>
      <c r="F25" s="185">
        <f>INDEX('Input|Opex'!$H$17:$H$198,MATCH(F15,'Input|Opex'!$C$17:$C$198,0))</f>
        <v>41505.797491437042</v>
      </c>
      <c r="G25" s="185">
        <f>INDEX('Input|Opex'!$H$17:$H$198,MATCH(G15,'Input|Opex'!$C$17:$C$198,0))</f>
        <v>44962.798800235578</v>
      </c>
      <c r="H25" s="185">
        <f>INDEX('Input|Opex'!$H$17:$H$198,MATCH(H15,'Input|Opex'!$C$17:$C$198,0))</f>
        <v>33109.470530670253</v>
      </c>
      <c r="I25" s="185">
        <f>INDEX('Input|Opex'!$H$17:$H$198,MATCH(I15,'Input|Opex'!$C$17:$C$198,0))</f>
        <v>48327.555586619324</v>
      </c>
      <c r="J25" s="185">
        <f>INDEX('Input|Opex'!$H$17:$H$198,MATCH(J15,'Input|Opex'!$C$17:$C$198,0))</f>
        <v>60381.716406933629</v>
      </c>
      <c r="K25" s="185">
        <f>INDEX('Input|Opex'!$H$17:$H$198,MATCH(K15,'Input|Opex'!$C$17:$C$198,0))</f>
        <v>73972.668200775704</v>
      </c>
      <c r="L25" s="185">
        <f>INDEX('Input|Opex'!$H$17:$H$198,MATCH(L15,'Input|Opex'!$C$17:$C$198,0))</f>
        <v>74245.098666073667</v>
      </c>
      <c r="M25" s="185">
        <f>INDEX('Input|Opex'!$H$17:$H$198,MATCH(M15,'Input|Opex'!$C$17:$C$198,0))</f>
        <v>77044.023288841345</v>
      </c>
      <c r="N25" s="185">
        <f>INDEX('Input|Opex'!$H$17:$H$198,MATCH(N15,'Input|Opex'!$C$17:$C$198,0))</f>
        <v>78349.623808848963</v>
      </c>
      <c r="O25" s="185">
        <f>INDEX('Input|Opex'!$H$17:$H$198,MATCH(O15,'Input|Opex'!$C$17:$C$198,0))</f>
        <v>78259.389534890768</v>
      </c>
      <c r="P25" s="185">
        <f>INDEX('Input|Opex'!$H$17:$H$198,MATCH(P15,'Input|Opex'!$C$17:$C$198,0))</f>
        <v>76383.712548754032</v>
      </c>
      <c r="Q25" s="185">
        <f>INDEX('Input|Opex'!$H$17:$H$198,MATCH(Q15,'Input|Opex'!$C$17:$C$198,0))</f>
        <v>88178.583045480467</v>
      </c>
      <c r="R25" s="185">
        <f>INDEX('Input|Opex'!$H$17:$H$198,MATCH(R15,'Input|Opex'!$C$17:$C$198,0))</f>
        <v>83769.946467757167</v>
      </c>
      <c r="S25" s="185">
        <f>INDEX('Input|Opex'!$H$17:$H$198,MATCH(S15,'Input|Opex'!$C$17:$C$198,0))</f>
        <v>75258.280335743795</v>
      </c>
    </row>
    <row r="26" spans="3:19" s="30" customFormat="1" ht="14.5" x14ac:dyDescent="0.35">
      <c r="C26" s="81"/>
      <c r="D26" s="82"/>
      <c r="E26" s="156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</row>
    <row r="27" spans="3:19" s="30" customFormat="1" ht="14.5" x14ac:dyDescent="0.35">
      <c r="C27" s="81" t="s">
        <v>46</v>
      </c>
      <c r="D27" s="82" t="s">
        <v>47</v>
      </c>
      <c r="E27" s="156"/>
      <c r="F27" s="161">
        <v>1.0258476465181641</v>
      </c>
      <c r="G27" s="161">
        <v>1.0650547188806361</v>
      </c>
      <c r="H27" s="161">
        <v>1.1122878618798167</v>
      </c>
      <c r="I27" s="161">
        <v>1.1400308454887336</v>
      </c>
      <c r="J27" s="161">
        <v>1.178546598199947</v>
      </c>
      <c r="K27" s="161">
        <v>1.2206323874885738</v>
      </c>
      <c r="L27" s="161">
        <v>1.2580479670432216</v>
      </c>
      <c r="M27" s="161">
        <v>1.2966368788866152</v>
      </c>
      <c r="N27" s="161">
        <v>1.3299716632564171</v>
      </c>
      <c r="O27" s="161">
        <v>1.3538343217460784</v>
      </c>
      <c r="P27" s="161">
        <v>1.3778751883264413</v>
      </c>
      <c r="Q27" s="161">
        <v>1.4052358278483659</v>
      </c>
      <c r="R27" s="161">
        <v>1.4413653470691277</v>
      </c>
      <c r="S27" s="161">
        <v>1.4719176166201573</v>
      </c>
    </row>
    <row r="28" spans="3:19" s="30" customFormat="1" ht="14.5" x14ac:dyDescent="0.35">
      <c r="C28" s="81" t="s">
        <v>48</v>
      </c>
      <c r="D28" s="82" t="s">
        <v>49</v>
      </c>
      <c r="E28" s="82"/>
      <c r="F28" s="159"/>
      <c r="G28" s="159">
        <f t="shared" ref="G28:S28" si="2">G27/F27-1</f>
        <v>3.8219196091685781E-2</v>
      </c>
      <c r="H28" s="159">
        <f t="shared" si="2"/>
        <v>4.4348090442547727E-2</v>
      </c>
      <c r="I28" s="159">
        <f t="shared" si="2"/>
        <v>2.4942269496702085E-2</v>
      </c>
      <c r="J28" s="159">
        <f t="shared" si="2"/>
        <v>3.3784833860965868E-2</v>
      </c>
      <c r="K28" s="159">
        <f t="shared" si="2"/>
        <v>3.5709906891171261E-2</v>
      </c>
      <c r="L28" s="159">
        <f t="shared" si="2"/>
        <v>3.0652619034326589E-2</v>
      </c>
      <c r="M28" s="160">
        <f t="shared" si="2"/>
        <v>3.0673641112499705E-2</v>
      </c>
      <c r="N28" s="160">
        <f t="shared" si="2"/>
        <v>2.5708650519354004E-2</v>
      </c>
      <c r="O28" s="160">
        <f t="shared" si="2"/>
        <v>1.7942230762446387E-2</v>
      </c>
      <c r="P28" s="160">
        <f t="shared" si="2"/>
        <v>1.7757613464368882E-2</v>
      </c>
      <c r="Q28" s="160">
        <f t="shared" si="2"/>
        <v>1.98571247626258E-2</v>
      </c>
      <c r="R28" s="160">
        <f t="shared" si="2"/>
        <v>2.5710644793395021E-2</v>
      </c>
      <c r="S28" s="160">
        <f t="shared" si="2"/>
        <v>2.1196755987754612E-2</v>
      </c>
    </row>
    <row r="29" spans="3:19" s="30" customFormat="1" ht="14.5" x14ac:dyDescent="0.35">
      <c r="C29" s="81" t="s">
        <v>50</v>
      </c>
      <c r="D29" s="82" t="s">
        <v>51</v>
      </c>
      <c r="E29" s="82"/>
      <c r="F29" s="83">
        <f t="shared" ref="F29:S29" si="3">F25/F27*$R27</f>
        <v>58317.644349702947</v>
      </c>
      <c r="G29" s="83">
        <f t="shared" si="3"/>
        <v>60849.286847922143</v>
      </c>
      <c r="H29" s="83">
        <f t="shared" si="3"/>
        <v>42905.119365467879</v>
      </c>
      <c r="I29" s="83">
        <f t="shared" si="3"/>
        <v>61101.560722462506</v>
      </c>
      <c r="J29" s="83">
        <f t="shared" si="3"/>
        <v>73846.985565473631</v>
      </c>
      <c r="K29" s="83">
        <f t="shared" si="3"/>
        <v>87349.509703091142</v>
      </c>
      <c r="L29" s="83">
        <f t="shared" si="3"/>
        <v>85063.777543015021</v>
      </c>
      <c r="M29" s="83">
        <f t="shared" si="3"/>
        <v>85643.549998884031</v>
      </c>
      <c r="N29" s="83">
        <f t="shared" si="3"/>
        <v>84911.908902982614</v>
      </c>
      <c r="O29" s="83">
        <f t="shared" si="3"/>
        <v>83319.184885853727</v>
      </c>
      <c r="P29" s="83">
        <f t="shared" si="3"/>
        <v>79903.344861000267</v>
      </c>
      <c r="Q29" s="83">
        <f t="shared" si="3"/>
        <v>90445.711272547705</v>
      </c>
      <c r="R29" s="83">
        <f t="shared" si="3"/>
        <v>83769.946467757167</v>
      </c>
      <c r="S29" s="83">
        <f t="shared" si="3"/>
        <v>73696.160798072713</v>
      </c>
    </row>
    <row r="30" spans="3:19" s="30" customFormat="1" ht="14.5" x14ac:dyDescent="0.35">
      <c r="C30" s="81"/>
      <c r="D30" s="82"/>
      <c r="E30" s="82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5"/>
      <c r="Q30" s="85"/>
      <c r="R30" s="85"/>
      <c r="S30" s="76"/>
    </row>
    <row r="31" spans="3:19" s="30" customFormat="1" ht="14.5" x14ac:dyDescent="0.35">
      <c r="C31" s="76"/>
      <c r="D31" s="76"/>
      <c r="E31" s="7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76"/>
    </row>
    <row r="32" spans="3:19" s="30" customFormat="1" ht="14.5" x14ac:dyDescent="0.35">
      <c r="C32" s="78" t="s">
        <v>52</v>
      </c>
      <c r="D32" s="76"/>
      <c r="E32" s="76"/>
      <c r="F32" s="134"/>
      <c r="G32" s="135"/>
      <c r="H32" s="135"/>
      <c r="I32" s="135"/>
      <c r="J32" s="136" t="s">
        <v>53</v>
      </c>
      <c r="K32" s="135"/>
      <c r="L32" s="136" t="s">
        <v>54</v>
      </c>
      <c r="M32" s="136"/>
      <c r="N32" s="136"/>
      <c r="O32" s="136" t="s">
        <v>55</v>
      </c>
      <c r="P32" s="136"/>
      <c r="Q32" s="136"/>
      <c r="R32" s="136" t="s">
        <v>56</v>
      </c>
      <c r="S32" s="137" t="s">
        <v>57</v>
      </c>
    </row>
    <row r="33" spans="1:19" s="30" customFormat="1" ht="14.5" x14ac:dyDescent="0.35">
      <c r="C33" s="81" t="s">
        <v>35</v>
      </c>
      <c r="D33" s="76"/>
      <c r="E33" s="76"/>
      <c r="F33" s="138"/>
      <c r="G33" s="139"/>
      <c r="H33" s="139"/>
      <c r="I33" s="139"/>
      <c r="J33" s="140">
        <f>AVERAGE(F19:S19)</f>
        <v>322006.53571428073</v>
      </c>
      <c r="K33" s="139"/>
      <c r="L33" s="140">
        <f>AVERAGE(L19:S19)</f>
        <v>336392.25</v>
      </c>
      <c r="M33" s="140"/>
      <c r="N33" s="140"/>
      <c r="O33" s="140">
        <f>R19</f>
        <v>353729</v>
      </c>
      <c r="P33" s="141"/>
      <c r="Q33" s="141"/>
      <c r="R33" s="141">
        <f>LN(O33/J33)</f>
        <v>9.395924064999979E-2</v>
      </c>
      <c r="S33" s="142">
        <f>LN(O33/L33)</f>
        <v>5.0253193454268291E-2</v>
      </c>
    </row>
    <row r="34" spans="1:19" s="30" customFormat="1" ht="14.5" x14ac:dyDescent="0.35">
      <c r="C34" s="81" t="s">
        <v>37</v>
      </c>
      <c r="D34" s="76"/>
      <c r="E34" s="76"/>
      <c r="F34" s="138"/>
      <c r="G34" s="139"/>
      <c r="H34" s="139"/>
      <c r="I34" s="139"/>
      <c r="J34" s="140">
        <f>AVERAGE(F20:S20)</f>
        <v>6127.2358225357157</v>
      </c>
      <c r="K34" s="139"/>
      <c r="L34" s="140">
        <f>AVERAGE(L20:S20)</f>
        <v>6310.6660670999991</v>
      </c>
      <c r="M34" s="140"/>
      <c r="N34" s="140"/>
      <c r="O34" s="140">
        <f>R20</f>
        <v>6567.6</v>
      </c>
      <c r="P34" s="141"/>
      <c r="Q34" s="141"/>
      <c r="R34" s="141">
        <f>LN(O34/J34)</f>
        <v>6.9404746882279225E-2</v>
      </c>
      <c r="S34" s="142">
        <f>LN(O34/L34)</f>
        <v>3.9907240588299787E-2</v>
      </c>
    </row>
    <row r="35" spans="1:19" s="30" customFormat="1" ht="14.5" x14ac:dyDescent="0.35">
      <c r="C35" s="81" t="s">
        <v>58</v>
      </c>
      <c r="D35" s="76"/>
      <c r="E35" s="76"/>
      <c r="F35" s="138"/>
      <c r="G35" s="139"/>
      <c r="H35" s="139"/>
      <c r="I35" s="139"/>
      <c r="J35" s="140">
        <f>AVERAGE(F22:S22)</f>
        <v>994.26779085439989</v>
      </c>
      <c r="K35" s="139"/>
      <c r="L35" s="140">
        <f>AVERAGE(L22:S22)</f>
        <v>1020.4623789952</v>
      </c>
      <c r="M35" s="140"/>
      <c r="N35" s="140"/>
      <c r="O35" s="140">
        <f>R22</f>
        <v>1019.66512</v>
      </c>
      <c r="P35" s="141"/>
      <c r="Q35" s="141"/>
      <c r="R35" s="141">
        <f>LN(O35/J35)</f>
        <v>2.5222960974942709E-2</v>
      </c>
      <c r="S35" s="142">
        <f>LN(O35/L35)</f>
        <v>-7.8157765745261393E-4</v>
      </c>
    </row>
    <row r="36" spans="1:19" s="30" customFormat="1" ht="14.5" x14ac:dyDescent="0.35">
      <c r="C36" s="81" t="s">
        <v>43</v>
      </c>
      <c r="D36" s="76"/>
      <c r="E36" s="76"/>
      <c r="F36" s="138"/>
      <c r="G36" s="139"/>
      <c r="H36" s="139"/>
      <c r="I36" s="139"/>
      <c r="J36" s="143">
        <f xml:space="preserve"> AVERAGE(F24:S24)</f>
        <v>0.27152190368964524</v>
      </c>
      <c r="K36" s="139"/>
      <c r="L36" s="143">
        <f>AVERAGE(L24:S24)</f>
        <v>0.29264202337386641</v>
      </c>
      <c r="M36" s="144"/>
      <c r="N36" s="144"/>
      <c r="O36" s="144">
        <f>R24</f>
        <v>0.3164169559656495</v>
      </c>
      <c r="P36" s="141"/>
      <c r="Q36" s="141"/>
      <c r="R36" s="141">
        <f>LN(O36/J36)</f>
        <v>0.15301801204784385</v>
      </c>
      <c r="S36" s="142">
        <f>LN(O36/L36)</f>
        <v>7.8110725914153203E-2</v>
      </c>
    </row>
    <row r="37" spans="1:19" s="30" customFormat="1" ht="14.5" x14ac:dyDescent="0.35">
      <c r="C37" s="81" t="s">
        <v>59</v>
      </c>
      <c r="D37" s="82"/>
      <c r="E37" s="76"/>
      <c r="F37" s="138"/>
      <c r="G37" s="139"/>
      <c r="H37" s="139"/>
      <c r="I37" s="139"/>
      <c r="J37" s="140">
        <f>AVERAGE(F29:S29)</f>
        <v>75080.263663159552</v>
      </c>
      <c r="K37" s="139"/>
      <c r="L37" s="140">
        <f>AVERAGE(L29:S29)</f>
        <v>83344.198091264159</v>
      </c>
      <c r="M37" s="145"/>
      <c r="N37" s="145"/>
      <c r="O37" s="145">
        <f>R25</f>
        <v>83769.946467757167</v>
      </c>
      <c r="P37" s="146"/>
      <c r="Q37" s="146"/>
      <c r="R37" s="146"/>
      <c r="S37" s="147"/>
    </row>
    <row r="38" spans="1:19" s="30" customFormat="1" ht="14.5" x14ac:dyDescent="0.35">
      <c r="C38" s="89" t="s">
        <v>60</v>
      </c>
      <c r="D38" s="76"/>
      <c r="E38" s="76"/>
      <c r="F38" s="138"/>
      <c r="G38" s="139"/>
      <c r="H38" s="139"/>
      <c r="I38" s="139"/>
      <c r="J38" s="139"/>
      <c r="K38" s="139"/>
      <c r="L38" s="141"/>
      <c r="M38" s="141"/>
      <c r="N38" s="141"/>
      <c r="O38" s="141">
        <f>O37/$J37-1</f>
        <v>0.11573857603355053</v>
      </c>
      <c r="P38" s="139"/>
      <c r="Q38" s="139"/>
      <c r="R38" s="139"/>
      <c r="S38" s="148"/>
    </row>
    <row r="39" spans="1:19" s="30" customFormat="1" ht="14.5" x14ac:dyDescent="0.35">
      <c r="C39" s="89" t="s">
        <v>61</v>
      </c>
      <c r="D39" s="76"/>
      <c r="E39" s="76"/>
      <c r="F39" s="138"/>
      <c r="G39" s="139"/>
      <c r="H39" s="139"/>
      <c r="I39" s="139"/>
      <c r="J39" s="139"/>
      <c r="K39" s="139"/>
      <c r="L39" s="141"/>
      <c r="M39" s="141"/>
      <c r="N39" s="141"/>
      <c r="O39" s="141">
        <f>'Calc|Opex Forecasts'!H49</f>
        <v>0.11407002108191833</v>
      </c>
      <c r="P39" s="35"/>
      <c r="Q39" s="35"/>
      <c r="R39" s="35"/>
      <c r="S39" s="149"/>
    </row>
    <row r="40" spans="1:19" s="30" customFormat="1" ht="14.5" x14ac:dyDescent="0.35">
      <c r="C40" s="89" t="s">
        <v>62</v>
      </c>
      <c r="D40" s="76"/>
      <c r="E40" s="76"/>
      <c r="F40" s="150"/>
      <c r="G40" s="151"/>
      <c r="H40" s="151"/>
      <c r="I40" s="151"/>
      <c r="J40" s="151"/>
      <c r="K40" s="151"/>
      <c r="L40" s="152"/>
      <c r="M40" s="152"/>
      <c r="N40" s="152"/>
      <c r="O40" s="152">
        <f>O38-O39</f>
        <v>1.6685549516322062E-3</v>
      </c>
      <c r="P40" s="153"/>
      <c r="Q40" s="153"/>
      <c r="R40" s="153"/>
      <c r="S40" s="154"/>
    </row>
    <row r="41" spans="1:19" s="30" customFormat="1" ht="11.25" customHeight="1" x14ac:dyDescent="0.35">
      <c r="A41" s="34"/>
      <c r="J41" s="36"/>
    </row>
    <row r="42" spans="1:19" s="24" customFormat="1" ht="13" x14ac:dyDescent="0.3">
      <c r="B42" s="25" t="s">
        <v>122</v>
      </c>
      <c r="C42" s="26"/>
    </row>
    <row r="43" spans="1:19" s="30" customFormat="1" ht="14.5" x14ac:dyDescent="0.35">
      <c r="A43" s="32"/>
    </row>
    <row r="44" spans="1:19" s="30" customFormat="1" ht="14.5" x14ac:dyDescent="0.35">
      <c r="A44" s="32"/>
    </row>
    <row r="45" spans="1:19" s="30" customFormat="1" ht="14.5" x14ac:dyDescent="0.35"/>
    <row r="46" spans="1:19" s="30" customFormat="1" ht="14.5" x14ac:dyDescent="0.35">
      <c r="B46" s="37"/>
      <c r="C46" s="38"/>
      <c r="D46" s="37"/>
      <c r="E46" s="37"/>
      <c r="F46" s="37"/>
      <c r="G46" s="37"/>
      <c r="H46" s="37"/>
      <c r="I46" s="37"/>
      <c r="J46" s="39"/>
    </row>
    <row r="47" spans="1:19" s="30" customFormat="1" ht="14.5" x14ac:dyDescent="0.35">
      <c r="B47" s="37"/>
      <c r="C47" s="38"/>
      <c r="D47" s="37"/>
      <c r="E47" s="37"/>
      <c r="F47" s="37"/>
      <c r="G47" s="37"/>
      <c r="H47" s="37"/>
      <c r="I47" s="37"/>
      <c r="J47" s="39"/>
    </row>
    <row r="48" spans="1:19" s="30" customFormat="1" ht="14.5" x14ac:dyDescent="0.35"/>
    <row r="49" spans="9:9" s="30" customFormat="1" ht="14.5" x14ac:dyDescent="0.35">
      <c r="I49" s="40"/>
    </row>
    <row r="50" spans="9:9" x14ac:dyDescent="0.25">
      <c r="I50" s="41"/>
    </row>
  </sheetData>
  <pageMargins left="0.75" right="0.75" top="1" bottom="1" header="0.5" footer="0.5"/>
  <pageSetup paperSize="9" orientation="portrait" horizontalDpi="4294967292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R54"/>
  <sheetViews>
    <sheetView showGridLines="0" workbookViewId="0">
      <pane ySplit="12" topLeftCell="A13" activePane="bottomLeft" state="frozen"/>
      <selection pane="bottomLeft" activeCell="A13" sqref="A13"/>
    </sheetView>
  </sheetViews>
  <sheetFormatPr defaultColWidth="9" defaultRowHeight="12.5" x14ac:dyDescent="0.25"/>
  <cols>
    <col min="1" max="2" width="1.26953125" customWidth="1"/>
    <col min="3" max="3" width="14.81640625" customWidth="1"/>
    <col min="4" max="5" width="13.1796875" customWidth="1"/>
    <col min="6" max="10" width="10.26953125" customWidth="1"/>
    <col min="11" max="11" width="15.7265625" customWidth="1"/>
    <col min="12" max="17" width="13.26953125" customWidth="1"/>
    <col min="18" max="19" width="10.26953125" customWidth="1"/>
    <col min="20" max="36" width="10.453125" customWidth="1"/>
  </cols>
  <sheetData>
    <row r="1" spans="2:18" s="13" customFormat="1" ht="15.5" x14ac:dyDescent="0.2">
      <c r="B1" s="14"/>
      <c r="C1" s="15" t="str">
        <f>'Output|Benchmarking Results'!C1</f>
        <v>JEN - Benchmarking analysis on common capitalisation</v>
      </c>
      <c r="D1" s="15"/>
      <c r="E1" s="15"/>
      <c r="I1" s="27" t="s">
        <v>7</v>
      </c>
      <c r="J1" s="4" t="s">
        <v>8</v>
      </c>
      <c r="K1" s="5" t="s">
        <v>9</v>
      </c>
      <c r="L1" s="6" t="s">
        <v>10</v>
      </c>
      <c r="M1" s="7" t="s">
        <v>11</v>
      </c>
      <c r="N1" s="8" t="s">
        <v>12</v>
      </c>
      <c r="O1" s="9" t="s">
        <v>13</v>
      </c>
      <c r="P1" s="10" t="s">
        <v>14</v>
      </c>
    </row>
    <row r="2" spans="2:18" s="16" customFormat="1" ht="13.5" thickBot="1" x14ac:dyDescent="0.35">
      <c r="B2" s="17"/>
      <c r="C2" s="18" t="s">
        <v>140</v>
      </c>
      <c r="D2" s="19"/>
      <c r="E2" s="19"/>
      <c r="F2" s="19"/>
      <c r="G2" s="20"/>
      <c r="H2" s="20"/>
    </row>
    <row r="3" spans="2:18" s="21" customFormat="1" ht="11.25" customHeight="1" x14ac:dyDescent="0.3">
      <c r="B3" s="22"/>
      <c r="C3" s="23"/>
    </row>
    <row r="4" spans="2:18" s="11" customFormat="1" ht="3" customHeight="1" x14ac:dyDescent="0.2">
      <c r="B4" s="12"/>
    </row>
    <row r="5" spans="2:18" s="11" customFormat="1" ht="9" customHeight="1" x14ac:dyDescent="0.2">
      <c r="B5" s="12" t="s">
        <v>15</v>
      </c>
    </row>
    <row r="6" spans="2:18" s="11" customFormat="1" ht="3" customHeight="1" x14ac:dyDescent="0.2">
      <c r="B6" s="12"/>
    </row>
    <row r="7" spans="2:18" s="24" customFormat="1" ht="13" x14ac:dyDescent="0.3">
      <c r="B7" s="25" t="s">
        <v>125</v>
      </c>
      <c r="C7" s="26"/>
    </row>
    <row r="9" spans="2:18" ht="14.5" x14ac:dyDescent="0.35">
      <c r="C9" s="54" t="s">
        <v>151</v>
      </c>
    </row>
    <row r="10" spans="2:18" ht="14.5" x14ac:dyDescent="0.35">
      <c r="C10" s="54" t="s">
        <v>169</v>
      </c>
    </row>
    <row r="12" spans="2:18" s="52" customFormat="1" x14ac:dyDescent="0.25">
      <c r="C12" s="53" t="str">
        <f>C14</f>
        <v>Efficiency Target Option</v>
      </c>
    </row>
    <row r="14" spans="2:18" ht="14.5" x14ac:dyDescent="0.35">
      <c r="C14" s="55" t="s">
        <v>63</v>
      </c>
      <c r="D14" s="56"/>
      <c r="E14" s="57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8"/>
      <c r="Q14" s="58"/>
      <c r="R14" s="45"/>
    </row>
    <row r="15" spans="2:18" ht="14.5" x14ac:dyDescent="0.35">
      <c r="C15" s="56"/>
      <c r="D15" s="56"/>
      <c r="E15" s="57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8"/>
      <c r="Q15" s="58"/>
      <c r="R15" s="45"/>
    </row>
    <row r="16" spans="2:18" ht="14.5" x14ac:dyDescent="0.35">
      <c r="C16" s="55" t="s">
        <v>64</v>
      </c>
      <c r="D16" s="59"/>
      <c r="E16" s="59"/>
      <c r="F16" s="56"/>
      <c r="G16" s="55" t="s">
        <v>65</v>
      </c>
      <c r="H16" s="56"/>
      <c r="I16" s="56"/>
      <c r="J16" s="56"/>
      <c r="K16" s="56"/>
      <c r="L16" s="56"/>
      <c r="M16" s="56"/>
      <c r="N16" s="56"/>
      <c r="O16" s="56"/>
      <c r="P16" s="60"/>
      <c r="Q16" s="60"/>
      <c r="R16" s="45"/>
    </row>
    <row r="17" spans="3:18" ht="29" x14ac:dyDescent="0.3">
      <c r="C17" s="61"/>
      <c r="D17" s="62"/>
      <c r="E17" s="62"/>
      <c r="F17" s="63"/>
      <c r="G17" s="61"/>
      <c r="H17" s="64"/>
      <c r="I17" s="63"/>
      <c r="J17" s="65"/>
      <c r="K17" s="65"/>
      <c r="L17" s="90" t="s">
        <v>66</v>
      </c>
      <c r="M17" s="90"/>
      <c r="N17" s="90" t="s">
        <v>67</v>
      </c>
      <c r="O17" s="64"/>
      <c r="P17" s="66" t="s">
        <v>170</v>
      </c>
      <c r="Q17" s="66"/>
      <c r="R17" s="45"/>
    </row>
    <row r="18" spans="3:18" ht="29" x14ac:dyDescent="0.35">
      <c r="C18" s="64" t="s">
        <v>68</v>
      </c>
      <c r="D18" s="64" t="s">
        <v>69</v>
      </c>
      <c r="E18" s="64" t="s">
        <v>70</v>
      </c>
      <c r="F18" s="63"/>
      <c r="G18" s="64"/>
      <c r="H18" s="56"/>
      <c r="I18" s="67"/>
      <c r="J18" s="64" t="s">
        <v>68</v>
      </c>
      <c r="K18" s="64"/>
      <c r="L18" s="68" t="s">
        <v>72</v>
      </c>
      <c r="M18" s="68" t="s">
        <v>71</v>
      </c>
      <c r="N18" s="67" t="s">
        <v>74</v>
      </c>
      <c r="O18" s="67" t="s">
        <v>73</v>
      </c>
      <c r="P18" s="67" t="s">
        <v>75</v>
      </c>
      <c r="Q18" s="67" t="s">
        <v>76</v>
      </c>
      <c r="R18" s="45"/>
    </row>
    <row r="19" spans="3:18" ht="14.5" x14ac:dyDescent="0.35">
      <c r="C19" s="55" t="s">
        <v>77</v>
      </c>
      <c r="D19" s="69">
        <v>0.97323205582896077</v>
      </c>
      <c r="E19" s="69">
        <v>0.95729119012241692</v>
      </c>
      <c r="F19" s="63"/>
      <c r="G19" s="70" t="s">
        <v>78</v>
      </c>
      <c r="H19" s="71">
        <v>0.75</v>
      </c>
      <c r="I19" s="56"/>
      <c r="J19" s="55" t="s">
        <v>79</v>
      </c>
      <c r="K19" s="55" t="s">
        <v>80</v>
      </c>
      <c r="L19" s="72">
        <v>0</v>
      </c>
      <c r="M19" s="72">
        <v>0</v>
      </c>
      <c r="N19" s="73">
        <f>$H$19/(1+L19)</f>
        <v>0.75</v>
      </c>
      <c r="O19" s="73">
        <f>$H$19/(1+M19)</f>
        <v>0.75</v>
      </c>
      <c r="P19" s="73">
        <f>MAX((1- (INDEX(D19:D31,MATCH($J19,$C19:$C31,0)))/$N19),0)</f>
        <v>8.3286618415888913E-2</v>
      </c>
      <c r="Q19" s="73">
        <f>MAX((1- (INDEX(E19:E31,MATCH($J19,$C19:$C31,0)))/$O19),0)</f>
        <v>0.13767249862798092</v>
      </c>
      <c r="R19" s="45"/>
    </row>
    <row r="20" spans="3:18" ht="14.5" x14ac:dyDescent="0.35">
      <c r="C20" s="55" t="s">
        <v>81</v>
      </c>
      <c r="D20" s="69">
        <v>0.7657043966510737</v>
      </c>
      <c r="E20" s="69">
        <v>0.73060924143148331</v>
      </c>
      <c r="F20" s="63"/>
      <c r="G20" s="56"/>
      <c r="H20" s="56"/>
      <c r="I20" s="56"/>
      <c r="J20" s="55"/>
      <c r="K20" s="55" t="s">
        <v>138</v>
      </c>
      <c r="L20" s="72">
        <v>-1.2087595299749525E-2</v>
      </c>
      <c r="M20" s="72">
        <v>-1.8802926021832596E-2</v>
      </c>
      <c r="N20" s="73">
        <f>$H$19/(1+L20)</f>
        <v>0.75917661974045447</v>
      </c>
      <c r="O20" s="73">
        <f>$H$19/(1+M20)</f>
        <v>0.76437243841259994</v>
      </c>
      <c r="P20" s="73">
        <f>MAX((1- (INDEX(D19:D31,MATCH($J19,$C19:$C31,0)))/$N20),0)</f>
        <v>9.4367478778342506E-2</v>
      </c>
      <c r="Q20" s="73">
        <f>MAX((1- (INDEX(E19:E31,MATCH($J19,$C19:$C31,0)))/$O20),0)</f>
        <v>0.15388677884287083</v>
      </c>
      <c r="R20" s="45"/>
    </row>
    <row r="21" spans="3:18" ht="14.5" x14ac:dyDescent="0.35">
      <c r="C21" s="55" t="s">
        <v>82</v>
      </c>
      <c r="D21" s="69">
        <v>0.89942228573660654</v>
      </c>
      <c r="E21" s="69">
        <v>0.84402994195811354</v>
      </c>
      <c r="F21" s="63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45"/>
    </row>
    <row r="22" spans="3:18" ht="14.5" x14ac:dyDescent="0.35">
      <c r="C22" s="55" t="s">
        <v>83</v>
      </c>
      <c r="D22" s="69">
        <v>0.77778455919839407</v>
      </c>
      <c r="E22" s="69">
        <v>0.87178973873249543</v>
      </c>
      <c r="F22" s="63"/>
      <c r="G22" s="56"/>
      <c r="H22" s="56"/>
      <c r="I22" s="56"/>
      <c r="J22" s="56"/>
      <c r="K22" s="55"/>
      <c r="L22" s="55"/>
      <c r="M22" s="55"/>
      <c r="N22" s="55"/>
      <c r="O22" s="55"/>
      <c r="P22" s="55"/>
      <c r="Q22" s="55"/>
      <c r="R22" s="45"/>
    </row>
    <row r="23" spans="3:18" ht="14.5" x14ac:dyDescent="0.35">
      <c r="C23" s="55" t="s">
        <v>84</v>
      </c>
      <c r="D23" s="69">
        <v>0.88563725927107129</v>
      </c>
      <c r="E23" s="69">
        <v>0.8320047518348348</v>
      </c>
      <c r="F23" s="63"/>
      <c r="G23" s="56"/>
      <c r="H23" s="56"/>
      <c r="I23" s="56"/>
      <c r="J23" s="60"/>
      <c r="K23" s="60"/>
      <c r="L23" s="60"/>
      <c r="M23" s="60"/>
      <c r="N23" s="60"/>
      <c r="O23" s="60"/>
      <c r="P23" s="60"/>
      <c r="Q23" s="58"/>
      <c r="R23" s="45"/>
    </row>
    <row r="24" spans="3:18" ht="14.5" x14ac:dyDescent="0.35">
      <c r="C24" s="55" t="s">
        <v>85</v>
      </c>
      <c r="D24" s="69">
        <v>0.63310239854464256</v>
      </c>
      <c r="E24" s="69">
        <v>0.61163769500019216</v>
      </c>
      <c r="F24" s="63"/>
      <c r="G24" s="56"/>
      <c r="H24" s="56"/>
      <c r="I24" s="60"/>
      <c r="J24" s="60"/>
      <c r="K24" s="60"/>
      <c r="L24" s="60"/>
      <c r="M24" s="60"/>
      <c r="N24" s="60"/>
      <c r="O24" s="60"/>
      <c r="P24" s="60"/>
      <c r="Q24" s="58"/>
      <c r="R24" s="45"/>
    </row>
    <row r="25" spans="3:18" ht="14.5" x14ac:dyDescent="0.35">
      <c r="C25" s="55" t="s">
        <v>79</v>
      </c>
      <c r="D25" s="69">
        <v>0.68753503618808331</v>
      </c>
      <c r="E25" s="69">
        <v>0.64674562602901431</v>
      </c>
      <c r="F25" s="63"/>
      <c r="G25" s="56"/>
      <c r="H25" s="56"/>
      <c r="I25" s="60"/>
      <c r="J25" s="60"/>
      <c r="K25" s="60"/>
      <c r="L25" s="60"/>
      <c r="M25" s="60"/>
      <c r="N25" s="60"/>
      <c r="O25" s="60"/>
      <c r="P25" s="60"/>
      <c r="Q25" s="58"/>
      <c r="R25" s="45"/>
    </row>
    <row r="26" spans="3:18" ht="14.5" x14ac:dyDescent="0.35">
      <c r="C26" s="55" t="s">
        <v>86</v>
      </c>
      <c r="D26" s="69">
        <v>0.57788563116745362</v>
      </c>
      <c r="E26" s="69">
        <v>0.69367471115622859</v>
      </c>
      <c r="F26" s="63"/>
      <c r="G26" s="56"/>
      <c r="H26" s="56"/>
      <c r="I26" s="56"/>
      <c r="J26" s="56"/>
      <c r="K26" s="56"/>
      <c r="L26" s="56"/>
      <c r="M26" s="56"/>
      <c r="N26" s="56"/>
      <c r="O26" s="56"/>
      <c r="P26" s="58"/>
      <c r="Q26" s="58"/>
      <c r="R26" s="45"/>
    </row>
    <row r="27" spans="3:18" ht="14.5" x14ac:dyDescent="0.35">
      <c r="C27" s="55" t="s">
        <v>87</v>
      </c>
      <c r="D27" s="69">
        <v>0.5316004597144397</v>
      </c>
      <c r="E27" s="69">
        <v>0.62790656121707966</v>
      </c>
      <c r="F27" s="63"/>
      <c r="G27" s="56"/>
      <c r="H27" s="56"/>
      <c r="I27" s="56"/>
      <c r="J27" s="56"/>
      <c r="K27" s="56"/>
      <c r="L27" s="56"/>
      <c r="M27" s="56"/>
      <c r="N27" s="56"/>
      <c r="O27" s="56"/>
      <c r="P27" s="58"/>
      <c r="Q27" s="58"/>
      <c r="R27" s="45"/>
    </row>
    <row r="28" spans="3:18" ht="14.5" x14ac:dyDescent="0.35">
      <c r="C28" s="55" t="s">
        <v>88</v>
      </c>
      <c r="D28" s="69">
        <v>0.54729955833641242</v>
      </c>
      <c r="E28" s="69">
        <v>0.61888341515722856</v>
      </c>
      <c r="F28" s="63"/>
      <c r="G28" s="56"/>
      <c r="H28" s="56"/>
      <c r="I28" s="56"/>
      <c r="J28" s="56"/>
      <c r="K28" s="56"/>
      <c r="L28" s="56"/>
      <c r="M28" s="56"/>
      <c r="N28" s="56"/>
      <c r="O28" s="56"/>
      <c r="P28" s="58"/>
      <c r="Q28" s="58"/>
      <c r="R28" s="45"/>
    </row>
    <row r="29" spans="3:18" ht="14.5" x14ac:dyDescent="0.35">
      <c r="C29" s="55" t="s">
        <v>89</v>
      </c>
      <c r="D29" s="69">
        <v>0.52947491469910335</v>
      </c>
      <c r="E29" s="69">
        <v>0.6164464813838807</v>
      </c>
      <c r="F29" s="63"/>
      <c r="G29" s="56"/>
      <c r="H29" s="56"/>
      <c r="I29" s="56"/>
      <c r="J29" s="56"/>
      <c r="K29" s="56"/>
      <c r="L29" s="56"/>
      <c r="M29" s="56"/>
      <c r="N29" s="56"/>
      <c r="O29" s="56"/>
      <c r="P29" s="58"/>
      <c r="Q29" s="58"/>
      <c r="R29" s="45"/>
    </row>
    <row r="30" spans="3:18" ht="14.5" x14ac:dyDescent="0.35">
      <c r="C30" s="55" t="s">
        <v>90</v>
      </c>
      <c r="D30" s="69">
        <v>0.55042654685153736</v>
      </c>
      <c r="E30" s="69">
        <v>0.56154460745001045</v>
      </c>
      <c r="F30" s="63"/>
      <c r="G30" s="56"/>
      <c r="H30" s="56"/>
      <c r="I30" s="56"/>
      <c r="J30" s="56"/>
      <c r="K30" s="56"/>
      <c r="L30" s="56"/>
      <c r="M30" s="56"/>
      <c r="N30" s="56"/>
      <c r="O30" s="56"/>
      <c r="P30" s="58"/>
      <c r="Q30" s="58"/>
      <c r="R30" s="45"/>
    </row>
    <row r="31" spans="3:18" ht="14.5" x14ac:dyDescent="0.35">
      <c r="C31" s="55" t="s">
        <v>91</v>
      </c>
      <c r="D31" s="69">
        <v>0.39563536230893637</v>
      </c>
      <c r="E31" s="69">
        <v>0.460741504224777</v>
      </c>
      <c r="G31" s="56"/>
      <c r="H31" s="56"/>
      <c r="I31" s="56"/>
      <c r="J31" s="56"/>
      <c r="K31" s="56"/>
      <c r="L31" s="56"/>
      <c r="M31" s="56"/>
      <c r="N31" s="56"/>
      <c r="O31" s="56"/>
      <c r="P31" s="58"/>
      <c r="Q31" s="58"/>
      <c r="R31" s="45"/>
    </row>
    <row r="32" spans="3:18" ht="14.5" x14ac:dyDescent="0.35">
      <c r="C32" s="55"/>
      <c r="D32" s="56"/>
      <c r="E32" s="57"/>
      <c r="F32" s="63"/>
      <c r="G32" s="60"/>
      <c r="H32" s="60"/>
      <c r="I32" s="74"/>
      <c r="J32" s="56"/>
      <c r="K32" s="56"/>
      <c r="L32" s="56"/>
      <c r="M32" s="56"/>
      <c r="N32" s="56"/>
      <c r="O32" s="56"/>
      <c r="P32" s="58"/>
      <c r="Q32" s="58"/>
      <c r="R32" s="45"/>
    </row>
    <row r="33" spans="3:18" ht="14.5" x14ac:dyDescent="0.35">
      <c r="C33" s="56"/>
      <c r="D33" s="56"/>
      <c r="E33" s="57"/>
      <c r="F33" s="56"/>
      <c r="G33" s="58"/>
      <c r="H33" s="56"/>
      <c r="I33" s="56"/>
      <c r="J33" s="56"/>
      <c r="K33" s="56"/>
      <c r="L33" s="56"/>
      <c r="M33" s="56"/>
      <c r="N33" s="56"/>
      <c r="O33" s="56"/>
      <c r="P33" s="58"/>
      <c r="Q33" s="58"/>
      <c r="R33" s="45"/>
    </row>
    <row r="34" spans="3:18" ht="14.5" x14ac:dyDescent="0.35">
      <c r="C34" s="56"/>
      <c r="D34" s="56"/>
      <c r="E34" s="57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8"/>
      <c r="Q34" s="58"/>
      <c r="R34" s="45"/>
    </row>
    <row r="35" spans="3:18" ht="14.5" x14ac:dyDescent="0.35">
      <c r="C35" s="55" t="s">
        <v>92</v>
      </c>
      <c r="D35" s="59"/>
      <c r="E35" s="59"/>
      <c r="F35" s="56"/>
      <c r="G35" s="55" t="s">
        <v>65</v>
      </c>
      <c r="H35" s="56"/>
      <c r="I35" s="56"/>
      <c r="J35" s="56"/>
      <c r="K35" s="56"/>
      <c r="L35" s="56"/>
      <c r="M35" s="56"/>
      <c r="N35" s="56"/>
      <c r="O35" s="56"/>
      <c r="P35" s="58"/>
      <c r="Q35" s="58"/>
      <c r="R35" s="45"/>
    </row>
    <row r="36" spans="3:18" ht="29" x14ac:dyDescent="0.35">
      <c r="C36" s="61"/>
      <c r="D36" s="62"/>
      <c r="E36" s="62"/>
      <c r="F36" s="63"/>
      <c r="G36" s="61"/>
      <c r="H36" s="64"/>
      <c r="I36" s="56"/>
      <c r="J36" s="65"/>
      <c r="K36" s="65"/>
      <c r="L36" s="64" t="s">
        <v>66</v>
      </c>
      <c r="M36" s="64"/>
      <c r="N36" s="64" t="s">
        <v>67</v>
      </c>
      <c r="O36" s="64"/>
      <c r="P36" s="66" t="s">
        <v>170</v>
      </c>
      <c r="Q36" s="66"/>
      <c r="R36" s="45"/>
    </row>
    <row r="37" spans="3:18" ht="29" x14ac:dyDescent="0.35">
      <c r="C37" s="64" t="s">
        <v>68</v>
      </c>
      <c r="D37" s="64" t="str">
        <f>D$18</f>
        <v>Score - Long Sample</v>
      </c>
      <c r="E37" s="64" t="str">
        <f>E$18</f>
        <v>Score - Short Sample</v>
      </c>
      <c r="F37" s="63"/>
      <c r="G37" s="56"/>
      <c r="H37" s="56"/>
      <c r="I37" s="56"/>
      <c r="J37" s="64" t="s">
        <v>68</v>
      </c>
      <c r="K37" s="64"/>
      <c r="L37" s="68" t="str">
        <f>L18</f>
        <v>OEF long</v>
      </c>
      <c r="M37" s="68" t="str">
        <f>M18</f>
        <v>OEF short</v>
      </c>
      <c r="N37" s="67" t="str">
        <f>N18</f>
        <v>Target long</v>
      </c>
      <c r="O37" s="67" t="str">
        <f>O18</f>
        <v>Target short</v>
      </c>
      <c r="P37" s="67" t="s">
        <v>75</v>
      </c>
      <c r="Q37" s="67" t="s">
        <v>76</v>
      </c>
      <c r="R37" s="45"/>
    </row>
    <row r="38" spans="3:18" ht="14.5" x14ac:dyDescent="0.35">
      <c r="C38" s="55" t="s">
        <v>77</v>
      </c>
      <c r="D38" s="69">
        <v>1</v>
      </c>
      <c r="E38" s="69">
        <v>1</v>
      </c>
      <c r="F38" s="63"/>
      <c r="G38" s="70" t="s">
        <v>78</v>
      </c>
      <c r="H38" s="71">
        <f>H$19</f>
        <v>0.75</v>
      </c>
      <c r="I38" s="56"/>
      <c r="J38" s="55" t="s">
        <v>79</v>
      </c>
      <c r="K38" s="55" t="str">
        <f t="shared" ref="K38:K39" si="0">K19</f>
        <v>No OEF</v>
      </c>
      <c r="L38" s="72">
        <f>L19</f>
        <v>0</v>
      </c>
      <c r="M38" s="72">
        <f>M19</f>
        <v>0</v>
      </c>
      <c r="N38" s="73">
        <f>$H$19/(1+L38)</f>
        <v>0.75</v>
      </c>
      <c r="O38" s="73">
        <f>$H$19/(1+M38)</f>
        <v>0.75</v>
      </c>
      <c r="P38" s="73">
        <f>MAX((1- (INDEX(D38:D50,MATCH($J38,$C38:$C50,0)))/$O38),0)</f>
        <v>0.10463866582390502</v>
      </c>
      <c r="Q38" s="73">
        <f>MAX((1- (INDEX(E38:E50,MATCH($J38,$C38:$C50,0)))/$O38),0)</f>
        <v>0.16500659957343977</v>
      </c>
      <c r="R38" s="45"/>
    </row>
    <row r="39" spans="3:18" ht="14.5" x14ac:dyDescent="0.35">
      <c r="C39" s="55" t="s">
        <v>81</v>
      </c>
      <c r="D39" s="69">
        <v>0.68934020010373454</v>
      </c>
      <c r="E39" s="69">
        <v>0.67636587273399751</v>
      </c>
      <c r="F39" s="63"/>
      <c r="G39" s="56"/>
      <c r="H39" s="56"/>
      <c r="I39" s="56"/>
      <c r="J39" s="56"/>
      <c r="K39" s="55" t="str">
        <f t="shared" si="0"/>
        <v>Veg man OEF</v>
      </c>
      <c r="L39" s="72">
        <f>L20</f>
        <v>-1.2087595299749525E-2</v>
      </c>
      <c r="M39" s="72">
        <f>M20</f>
        <v>-1.8802926021832596E-2</v>
      </c>
      <c r="N39" s="73">
        <f>$H$19/(1+L39)</f>
        <v>0.75917661974045447</v>
      </c>
      <c r="O39" s="73">
        <f>$H$19/(1+M39)</f>
        <v>0.76437243841259994</v>
      </c>
      <c r="P39" s="73">
        <f>MAX((1- (INDEX(D38:D50,MATCH($J38,$C38:$C50,0)))/$N39),0)</f>
        <v>0.11546143127846953</v>
      </c>
      <c r="Q39" s="73">
        <f>MAX((1- (INDEX(E38:E50,MATCH($J38,$C38:$C50,0)))/$O39),0)</f>
        <v>0.18070691871037892</v>
      </c>
      <c r="R39" s="45"/>
    </row>
    <row r="40" spans="3:18" ht="14.5" x14ac:dyDescent="0.35">
      <c r="C40" s="55" t="s">
        <v>82</v>
      </c>
      <c r="D40" s="69">
        <v>0.88861149209409496</v>
      </c>
      <c r="E40" s="69">
        <v>0.8358147794669466</v>
      </c>
      <c r="F40" s="63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45"/>
    </row>
    <row r="41" spans="3:18" ht="14.5" x14ac:dyDescent="0.35">
      <c r="C41" s="55" t="s">
        <v>83</v>
      </c>
      <c r="D41" s="69">
        <v>0.73461023036940232</v>
      </c>
      <c r="E41" s="69">
        <v>0.84109671913684747</v>
      </c>
      <c r="F41" s="63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45"/>
    </row>
    <row r="42" spans="3:18" ht="14.5" x14ac:dyDescent="0.35">
      <c r="C42" s="55" t="s">
        <v>84</v>
      </c>
      <c r="D42" s="69">
        <v>0.88030670513703801</v>
      </c>
      <c r="E42" s="69">
        <v>0.7897738996591751</v>
      </c>
      <c r="F42" s="63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45"/>
    </row>
    <row r="43" spans="3:18" ht="14.5" x14ac:dyDescent="0.35">
      <c r="C43" s="55" t="s">
        <v>85</v>
      </c>
      <c r="D43" s="69">
        <v>0.67493887924009055</v>
      </c>
      <c r="E43" s="69">
        <v>0.60952820228198168</v>
      </c>
      <c r="F43" s="63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45"/>
    </row>
    <row r="44" spans="3:18" ht="14.5" x14ac:dyDescent="0.35">
      <c r="C44" s="55" t="s">
        <v>86</v>
      </c>
      <c r="D44" s="69">
        <v>0.62364116361564559</v>
      </c>
      <c r="E44" s="69">
        <v>0.67838565719292931</v>
      </c>
      <c r="F44" s="63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45"/>
    </row>
    <row r="45" spans="3:18" ht="14.5" x14ac:dyDescent="0.35">
      <c r="C45" s="55" t="s">
        <v>79</v>
      </c>
      <c r="D45" s="69">
        <v>0.67152100063207121</v>
      </c>
      <c r="E45" s="69">
        <v>0.62624505031992017</v>
      </c>
      <c r="F45" s="63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45"/>
    </row>
    <row r="46" spans="3:18" ht="14.5" x14ac:dyDescent="0.35">
      <c r="C46" s="55" t="s">
        <v>87</v>
      </c>
      <c r="D46" s="69">
        <v>0.51943178858680672</v>
      </c>
      <c r="E46" s="69">
        <v>0.59173188677672528</v>
      </c>
      <c r="F46" s="63"/>
      <c r="G46" s="56"/>
      <c r="H46" s="56"/>
      <c r="I46" s="56"/>
      <c r="J46" s="56"/>
      <c r="K46" s="56"/>
      <c r="L46" s="56"/>
      <c r="M46" s="56"/>
      <c r="N46" s="56"/>
      <c r="O46" s="56"/>
      <c r="P46" s="58"/>
      <c r="Q46" s="58"/>
      <c r="R46" s="45"/>
    </row>
    <row r="47" spans="3:18" ht="14.5" x14ac:dyDescent="0.35">
      <c r="C47" s="55" t="s">
        <v>89</v>
      </c>
      <c r="D47" s="69">
        <v>0.51223776645134411</v>
      </c>
      <c r="E47" s="69">
        <v>0.59446170152231048</v>
      </c>
      <c r="F47" s="63"/>
      <c r="G47" s="56"/>
      <c r="H47" s="56"/>
      <c r="I47" s="56"/>
      <c r="J47" s="56"/>
      <c r="K47" s="56"/>
      <c r="L47" s="56"/>
      <c r="M47" s="56"/>
      <c r="N47" s="56"/>
      <c r="O47" s="56"/>
      <c r="P47" s="58"/>
      <c r="Q47" s="58"/>
      <c r="R47" s="45"/>
    </row>
    <row r="48" spans="3:18" ht="14.5" x14ac:dyDescent="0.35">
      <c r="C48" s="55" t="s">
        <v>88</v>
      </c>
      <c r="D48" s="69">
        <v>0.5100239080049922</v>
      </c>
      <c r="E48" s="69">
        <v>0.54337841404163278</v>
      </c>
      <c r="F48" s="63"/>
      <c r="G48" s="56"/>
      <c r="H48" s="56"/>
      <c r="I48" s="56"/>
      <c r="J48" s="56"/>
      <c r="K48" s="56"/>
      <c r="L48" s="56"/>
      <c r="M48" s="56"/>
      <c r="N48" s="56"/>
      <c r="O48" s="56"/>
      <c r="P48" s="58"/>
      <c r="Q48" s="58"/>
      <c r="R48" s="45"/>
    </row>
    <row r="49" spans="1:18" ht="14.5" x14ac:dyDescent="0.35">
      <c r="C49" s="55" t="s">
        <v>91</v>
      </c>
      <c r="D49" s="69">
        <v>0.37900903968891381</v>
      </c>
      <c r="E49" s="69">
        <v>0.39384521485159707</v>
      </c>
      <c r="F49" s="63"/>
      <c r="G49" s="56"/>
      <c r="H49" s="56"/>
      <c r="I49" s="56"/>
      <c r="J49" s="56"/>
      <c r="K49" s="56"/>
      <c r="L49" s="56"/>
      <c r="M49" s="56"/>
      <c r="N49" s="56"/>
      <c r="O49" s="56"/>
      <c r="P49" s="58"/>
      <c r="Q49" s="58"/>
      <c r="R49" s="45"/>
    </row>
    <row r="50" spans="1:18" ht="14.5" x14ac:dyDescent="0.35">
      <c r="C50" s="55" t="s">
        <v>90</v>
      </c>
      <c r="D50" s="69">
        <v>0.54178087714081768</v>
      </c>
      <c r="E50" s="69">
        <v>0.50344280466172919</v>
      </c>
      <c r="F50" s="63"/>
      <c r="G50" s="56"/>
      <c r="H50" s="56"/>
      <c r="I50" s="56"/>
      <c r="J50" s="56"/>
      <c r="K50" s="56"/>
      <c r="L50" s="56"/>
      <c r="M50" s="56"/>
      <c r="N50" s="56"/>
      <c r="O50" s="56"/>
      <c r="P50" s="58"/>
      <c r="Q50" s="58"/>
      <c r="R50" s="45"/>
    </row>
    <row r="51" spans="1:18" ht="14.5" x14ac:dyDescent="0.35">
      <c r="A51" s="42"/>
      <c r="B51" s="43"/>
      <c r="C51" s="44"/>
      <c r="D51" s="43"/>
      <c r="G51" s="43"/>
      <c r="H51" s="43"/>
      <c r="I51" s="43"/>
      <c r="J51" s="43"/>
      <c r="K51" s="43"/>
      <c r="L51" s="43"/>
      <c r="M51" s="43"/>
      <c r="N51" s="45"/>
      <c r="O51" s="45"/>
      <c r="P51" s="45"/>
    </row>
    <row r="52" spans="1:18" s="24" customFormat="1" ht="13" x14ac:dyDescent="0.3">
      <c r="B52" s="25" t="s">
        <v>122</v>
      </c>
      <c r="C52" s="26"/>
    </row>
    <row r="53" spans="1:18" ht="14.5" x14ac:dyDescent="0.35">
      <c r="A53" s="43"/>
      <c r="B53" s="43"/>
      <c r="C53" s="44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5"/>
      <c r="O53" s="45"/>
      <c r="P53" s="45"/>
    </row>
    <row r="54" spans="1:18" ht="14.5" x14ac:dyDescent="0.35">
      <c r="A54" s="42"/>
      <c r="B54" s="43"/>
      <c r="C54" s="44"/>
      <c r="D54" s="43"/>
      <c r="G54" s="43"/>
      <c r="H54" s="43"/>
      <c r="I54" s="43"/>
      <c r="J54" s="43"/>
      <c r="K54" s="43"/>
      <c r="L54" s="43"/>
      <c r="M54" s="43"/>
      <c r="N54" s="45"/>
      <c r="O54" s="43"/>
      <c r="P54" s="4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O94"/>
  <sheetViews>
    <sheetView showGridLines="0" workbookViewId="0">
      <pane ySplit="12" topLeftCell="A13" activePane="bottomLeft" state="frozen"/>
      <selection pane="bottomLeft" activeCell="A13" sqref="A13"/>
    </sheetView>
  </sheetViews>
  <sheetFormatPr defaultColWidth="9" defaultRowHeight="12.5" x14ac:dyDescent="0.25"/>
  <cols>
    <col min="1" max="2" width="1.26953125" customWidth="1"/>
    <col min="3" max="3" width="40" customWidth="1"/>
    <col min="4" max="5" width="13.1796875" customWidth="1"/>
    <col min="6" max="6" width="10.26953125" customWidth="1"/>
    <col min="7" max="7" width="13.81640625" customWidth="1"/>
    <col min="8" max="11" width="10.26953125" customWidth="1"/>
    <col min="12" max="17" width="13.26953125" customWidth="1"/>
    <col min="18" max="19" width="10.26953125" customWidth="1"/>
    <col min="20" max="36" width="10.453125" customWidth="1"/>
  </cols>
  <sheetData>
    <row r="1" spans="2:15" s="13" customFormat="1" ht="15.5" x14ac:dyDescent="0.2">
      <c r="B1" s="14"/>
      <c r="C1" s="15" t="str">
        <f>'Output|Benchmarking Results'!C1</f>
        <v>JEN - Benchmarking analysis on common capitalisation</v>
      </c>
      <c r="D1" s="15"/>
      <c r="E1" s="15"/>
      <c r="G1" s="27" t="s">
        <v>7</v>
      </c>
      <c r="H1" s="4" t="s">
        <v>8</v>
      </c>
      <c r="I1" s="5" t="s">
        <v>9</v>
      </c>
      <c r="J1" s="6" t="s">
        <v>10</v>
      </c>
      <c r="K1" s="7" t="s">
        <v>11</v>
      </c>
      <c r="L1" s="8" t="s">
        <v>12</v>
      </c>
      <c r="M1" s="9" t="s">
        <v>13</v>
      </c>
      <c r="N1" s="10" t="s">
        <v>14</v>
      </c>
    </row>
    <row r="2" spans="2:15" s="16" customFormat="1" ht="13.5" thickBot="1" x14ac:dyDescent="0.35">
      <c r="B2" s="17"/>
      <c r="C2" s="18" t="s">
        <v>141</v>
      </c>
      <c r="D2" s="19"/>
      <c r="E2" s="19"/>
      <c r="F2" s="19"/>
      <c r="G2" s="20"/>
      <c r="H2" s="20"/>
    </row>
    <row r="3" spans="2:15" s="21" customFormat="1" ht="11.25" customHeight="1" x14ac:dyDescent="0.3">
      <c r="B3" s="22"/>
      <c r="C3" s="23"/>
    </row>
    <row r="4" spans="2:15" s="11" customFormat="1" ht="3" customHeight="1" x14ac:dyDescent="0.2">
      <c r="B4" s="12"/>
    </row>
    <row r="5" spans="2:15" s="11" customFormat="1" ht="9" customHeight="1" x14ac:dyDescent="0.2">
      <c r="B5" s="12" t="s">
        <v>15</v>
      </c>
    </row>
    <row r="6" spans="2:15" s="11" customFormat="1" ht="3" customHeight="1" x14ac:dyDescent="0.2">
      <c r="B6" s="12"/>
    </row>
    <row r="7" spans="2:15" s="24" customFormat="1" ht="13" x14ac:dyDescent="0.3">
      <c r="B7" s="25" t="s">
        <v>128</v>
      </c>
      <c r="C7" s="26"/>
    </row>
    <row r="9" spans="2:15" ht="14.5" x14ac:dyDescent="0.35">
      <c r="C9" s="54" t="s">
        <v>151</v>
      </c>
    </row>
    <row r="10" spans="2:15" ht="14.5" x14ac:dyDescent="0.35">
      <c r="C10" s="54" t="s">
        <v>169</v>
      </c>
    </row>
    <row r="12" spans="2:15" s="52" customFormat="1" x14ac:dyDescent="0.25">
      <c r="C12" s="53" t="s">
        <v>93</v>
      </c>
    </row>
    <row r="13" spans="2:15" s="30" customFormat="1" ht="14.5" x14ac:dyDescent="0.35">
      <c r="C13" s="29"/>
    </row>
    <row r="14" spans="2:15" s="91" customFormat="1" x14ac:dyDescent="0.25">
      <c r="C14" s="91" t="s">
        <v>94</v>
      </c>
      <c r="D14" s="92"/>
    </row>
    <row r="15" spans="2:15" s="93" customFormat="1" x14ac:dyDescent="0.25">
      <c r="D15" s="94"/>
    </row>
    <row r="16" spans="2:15" s="30" customFormat="1" ht="14.5" x14ac:dyDescent="0.35">
      <c r="C16" s="76"/>
      <c r="D16" s="55" t="s">
        <v>4</v>
      </c>
      <c r="E16" s="76"/>
      <c r="F16" s="76"/>
      <c r="G16" s="76"/>
      <c r="H16" s="76"/>
      <c r="I16" s="118"/>
      <c r="J16" s="121" t="s">
        <v>3</v>
      </c>
      <c r="K16" s="76"/>
      <c r="L16" s="76"/>
      <c r="M16" s="76"/>
      <c r="N16" s="76"/>
      <c r="O16" s="76"/>
    </row>
    <row r="17" spans="3:15" s="30" customFormat="1" ht="14.5" x14ac:dyDescent="0.35">
      <c r="C17" s="75" t="s">
        <v>95</v>
      </c>
      <c r="D17" s="77" t="s">
        <v>96</v>
      </c>
      <c r="E17" s="76"/>
      <c r="F17" s="76"/>
      <c r="G17" s="55" t="s">
        <v>97</v>
      </c>
      <c r="H17" s="77" t="s">
        <v>98</v>
      </c>
      <c r="I17" s="118"/>
      <c r="J17" s="131" t="str">
        <f>D17</f>
        <v>Coefficients</v>
      </c>
      <c r="K17" s="76"/>
      <c r="L17" s="55" t="s">
        <v>97</v>
      </c>
      <c r="M17" s="75" t="str">
        <f>H17</f>
        <v>Standard</v>
      </c>
      <c r="N17" s="76"/>
      <c r="O17" s="76"/>
    </row>
    <row r="18" spans="3:15" s="30" customFormat="1" ht="14.5" x14ac:dyDescent="0.35">
      <c r="C18" s="81" t="s">
        <v>99</v>
      </c>
      <c r="D18" s="95">
        <v>0.43806614440000002</v>
      </c>
      <c r="E18" s="76"/>
      <c r="F18" s="76"/>
      <c r="G18" s="76" t="str">
        <f>'Calc|Eff Target'!K19</f>
        <v>No OEF</v>
      </c>
      <c r="H18" s="96">
        <f>'Calc|Eff Target'!P19</f>
        <v>8.3286618415888913E-2</v>
      </c>
      <c r="I18" s="118"/>
      <c r="J18" s="123">
        <v>0.60360122049999998</v>
      </c>
      <c r="K18" s="76"/>
      <c r="L18" s="76" t="str">
        <f>G18</f>
        <v>No OEF</v>
      </c>
      <c r="M18" s="96">
        <f>'Calc|Eff Target'!P38</f>
        <v>0.10463866582390502</v>
      </c>
      <c r="N18" s="76"/>
      <c r="O18" s="76"/>
    </row>
    <row r="19" spans="3:15" s="30" customFormat="1" ht="14.5" x14ac:dyDescent="0.35">
      <c r="C19" s="81" t="s">
        <v>100</v>
      </c>
      <c r="D19" s="95">
        <v>0.10823696419999999</v>
      </c>
      <c r="E19" s="76"/>
      <c r="F19" s="76"/>
      <c r="G19" s="76" t="str">
        <f>'Calc|Eff Target'!K20</f>
        <v>Veg man OEF</v>
      </c>
      <c r="H19" s="96">
        <f>'Calc|Eff Target'!P20</f>
        <v>9.4367478778342506E-2</v>
      </c>
      <c r="I19" s="118"/>
      <c r="J19" s="123">
        <v>0.1616300027</v>
      </c>
      <c r="K19" s="76"/>
      <c r="L19" s="97" t="str">
        <f>G19</f>
        <v>Veg man OEF</v>
      </c>
      <c r="M19" s="96">
        <f>'Calc|Eff Target'!P39</f>
        <v>0.11546143127846953</v>
      </c>
      <c r="N19" s="76"/>
      <c r="O19" s="76"/>
    </row>
    <row r="20" spans="3:15" s="30" customFormat="1" ht="14.5" x14ac:dyDescent="0.35">
      <c r="C20" s="81" t="s">
        <v>101</v>
      </c>
      <c r="D20" s="95">
        <v>0.43374799450000001</v>
      </c>
      <c r="E20" s="76"/>
      <c r="F20" s="76"/>
      <c r="G20" s="76"/>
      <c r="H20" s="76"/>
      <c r="I20" s="118"/>
      <c r="J20" s="123">
        <v>0.21751344750000001</v>
      </c>
      <c r="K20" s="76"/>
      <c r="L20" s="76"/>
      <c r="M20" s="76"/>
      <c r="N20" s="76"/>
      <c r="O20" s="76"/>
    </row>
    <row r="21" spans="3:15" s="30" customFormat="1" ht="12.75" customHeight="1" x14ac:dyDescent="0.35">
      <c r="C21" s="81" t="s">
        <v>102</v>
      </c>
      <c r="D21" s="95">
        <v>-0.177187542</v>
      </c>
      <c r="E21" s="76"/>
      <c r="F21" s="76"/>
      <c r="G21" s="76"/>
      <c r="H21" s="76"/>
      <c r="I21" s="118"/>
      <c r="J21" s="123">
        <v>-0.1524877429</v>
      </c>
      <c r="K21" s="76"/>
      <c r="L21" s="76"/>
      <c r="M21" s="76"/>
      <c r="N21" s="76"/>
      <c r="O21" s="76"/>
    </row>
    <row r="22" spans="3:15" s="30" customFormat="1" ht="12.75" customHeight="1" x14ac:dyDescent="0.35">
      <c r="C22" s="81" t="s">
        <v>103</v>
      </c>
      <c r="D22" s="95">
        <v>1.4275828399999999E-2</v>
      </c>
      <c r="E22" s="76"/>
      <c r="F22" s="76"/>
      <c r="G22" s="76"/>
      <c r="H22" s="76"/>
      <c r="I22" s="118"/>
      <c r="J22" s="123">
        <v>1.40259242E-2</v>
      </c>
      <c r="K22" s="76"/>
      <c r="L22" s="76"/>
      <c r="M22" s="76"/>
      <c r="N22" s="76"/>
      <c r="O22" s="76"/>
    </row>
    <row r="23" spans="3:15" s="30" customFormat="1" ht="14.5" x14ac:dyDescent="0.35">
      <c r="C23" s="76"/>
      <c r="D23" s="97"/>
      <c r="E23" s="76"/>
      <c r="F23" s="76"/>
      <c r="G23" s="76"/>
      <c r="H23" s="76"/>
      <c r="I23" s="118"/>
      <c r="J23" s="124"/>
      <c r="K23" s="76"/>
      <c r="L23" s="76"/>
      <c r="M23" s="76"/>
      <c r="N23" s="76"/>
      <c r="O23" s="76"/>
    </row>
    <row r="24" spans="3:15" s="30" customFormat="1" ht="14.5" x14ac:dyDescent="0.35">
      <c r="C24" s="76"/>
      <c r="D24" s="75" t="s">
        <v>104</v>
      </c>
      <c r="E24" s="76"/>
      <c r="F24" s="76"/>
      <c r="G24" s="76"/>
      <c r="H24" s="76"/>
      <c r="I24" s="118"/>
      <c r="J24" s="125" t="str">
        <f>D24</f>
        <v>Output Weights</v>
      </c>
      <c r="K24" s="76"/>
      <c r="L24" s="76"/>
      <c r="M24" s="76"/>
      <c r="N24" s="76"/>
      <c r="O24" s="76"/>
    </row>
    <row r="25" spans="3:15" s="30" customFormat="1" ht="14.5" x14ac:dyDescent="0.35">
      <c r="C25" s="98" t="s">
        <v>105</v>
      </c>
      <c r="D25" s="99">
        <f>D18/SUM(D$18:D$20)</f>
        <v>0.44698296141329041</v>
      </c>
      <c r="E25" s="76"/>
      <c r="F25" s="76"/>
      <c r="G25" s="76"/>
      <c r="H25" s="76"/>
      <c r="I25" s="118"/>
      <c r="J25" s="126">
        <f>J18/SUM(J$18:J$20)</f>
        <v>0.61419943398935994</v>
      </c>
      <c r="K25" s="76"/>
      <c r="L25" s="76"/>
      <c r="M25" s="76"/>
      <c r="N25" s="76"/>
      <c r="O25" s="76"/>
    </row>
    <row r="26" spans="3:15" s="30" customFormat="1" ht="14.5" x14ac:dyDescent="0.35">
      <c r="C26" s="98" t="s">
        <v>37</v>
      </c>
      <c r="D26" s="99">
        <f>D19/SUM(D$18:D$20)</f>
        <v>0.11044012282383604</v>
      </c>
      <c r="E26" s="76"/>
      <c r="F26" s="76"/>
      <c r="G26" s="76"/>
      <c r="H26" s="76"/>
      <c r="I26" s="118"/>
      <c r="J26" s="126">
        <f>J19/SUM(J$18:J$20)</f>
        <v>0.16446795136001341</v>
      </c>
      <c r="K26" s="76"/>
      <c r="L26" s="76"/>
      <c r="M26" s="76"/>
      <c r="N26" s="76"/>
      <c r="O26" s="76"/>
    </row>
    <row r="27" spans="3:15" s="30" customFormat="1" ht="14.5" x14ac:dyDescent="0.35">
      <c r="C27" s="98" t="s">
        <v>58</v>
      </c>
      <c r="D27" s="99">
        <f>D20/SUM(D$18:D$20)</f>
        <v>0.44257691576287356</v>
      </c>
      <c r="E27" s="76"/>
      <c r="F27" s="76"/>
      <c r="G27" s="76"/>
      <c r="H27" s="76"/>
      <c r="I27" s="118"/>
      <c r="J27" s="126">
        <f>J20/SUM(J$18:J$20)</f>
        <v>0.22133261465062656</v>
      </c>
      <c r="K27" s="76"/>
      <c r="L27" s="76"/>
      <c r="M27" s="76"/>
      <c r="N27" s="76"/>
      <c r="O27" s="76"/>
    </row>
    <row r="28" spans="3:15" s="30" customFormat="1" ht="14.5" x14ac:dyDescent="0.35">
      <c r="C28" s="76"/>
      <c r="D28" s="97"/>
      <c r="E28" s="76"/>
      <c r="F28" s="76"/>
      <c r="G28" s="76"/>
      <c r="H28" s="76"/>
      <c r="I28" s="118"/>
      <c r="J28" s="124"/>
      <c r="K28" s="76"/>
      <c r="L28" s="76"/>
      <c r="M28" s="76"/>
      <c r="N28" s="76"/>
      <c r="O28" s="76"/>
    </row>
    <row r="29" spans="3:15" s="30" customFormat="1" ht="14.5" x14ac:dyDescent="0.35">
      <c r="C29" s="75" t="s">
        <v>106</v>
      </c>
      <c r="D29" s="76"/>
      <c r="E29" s="77"/>
      <c r="F29" s="77"/>
      <c r="G29" s="77"/>
      <c r="H29" s="100" t="s">
        <v>107</v>
      </c>
      <c r="I29" s="118"/>
      <c r="J29" s="127"/>
      <c r="K29" s="77"/>
      <c r="L29" s="77"/>
      <c r="M29" s="100" t="str">
        <f>$H$29</f>
        <v>Rate of change from Midpoint to End year</v>
      </c>
      <c r="N29" s="76"/>
      <c r="O29" s="76"/>
    </row>
    <row r="30" spans="3:15" s="30" customFormat="1" ht="14.5" x14ac:dyDescent="0.35">
      <c r="C30" s="76"/>
      <c r="D30" s="76"/>
      <c r="E30" s="101"/>
      <c r="F30" s="101"/>
      <c r="G30" s="101"/>
      <c r="H30" s="102">
        <v>2018</v>
      </c>
      <c r="I30" s="118"/>
      <c r="J30" s="127"/>
      <c r="K30" s="101"/>
      <c r="L30" s="101"/>
      <c r="M30" s="101">
        <f>H30</f>
        <v>2018</v>
      </c>
      <c r="N30" s="76"/>
      <c r="O30" s="76"/>
    </row>
    <row r="31" spans="3:15" s="30" customFormat="1" ht="14.5" x14ac:dyDescent="0.35">
      <c r="C31" s="81" t="s">
        <v>35</v>
      </c>
      <c r="D31" s="81"/>
      <c r="E31" s="101"/>
      <c r="F31" s="101"/>
      <c r="G31" s="101"/>
      <c r="H31" s="103">
        <f>'Calc|Cost Drivers'!R33</f>
        <v>9.395924064999979E-2</v>
      </c>
      <c r="I31" s="118"/>
      <c r="J31" s="128"/>
      <c r="K31" s="101"/>
      <c r="L31" s="101"/>
      <c r="M31" s="104">
        <f>H31</f>
        <v>9.395924064999979E-2</v>
      </c>
      <c r="N31" s="76"/>
      <c r="O31" s="76"/>
    </row>
    <row r="32" spans="3:15" s="30" customFormat="1" ht="12.75" customHeight="1" x14ac:dyDescent="0.35">
      <c r="C32" s="81" t="s">
        <v>37</v>
      </c>
      <c r="D32" s="81"/>
      <c r="E32" s="101"/>
      <c r="F32" s="101"/>
      <c r="G32" s="101"/>
      <c r="H32" s="103">
        <f>'Calc|Cost Drivers'!R34</f>
        <v>6.9404746882279225E-2</v>
      </c>
      <c r="I32" s="118"/>
      <c r="J32" s="128"/>
      <c r="K32" s="101"/>
      <c r="L32" s="101"/>
      <c r="M32" s="104">
        <f>H32</f>
        <v>6.9404746882279225E-2</v>
      </c>
      <c r="N32" s="76"/>
      <c r="O32" s="76"/>
    </row>
    <row r="33" spans="3:15" s="30" customFormat="1" ht="13.5" customHeight="1" x14ac:dyDescent="0.35">
      <c r="C33" s="81" t="s">
        <v>58</v>
      </c>
      <c r="D33" s="81"/>
      <c r="E33" s="101"/>
      <c r="F33" s="101"/>
      <c r="G33" s="101"/>
      <c r="H33" s="103">
        <f>'Calc|Cost Drivers'!R35</f>
        <v>2.5222960974942709E-2</v>
      </c>
      <c r="I33" s="118"/>
      <c r="J33" s="128"/>
      <c r="K33" s="101"/>
      <c r="L33" s="101"/>
      <c r="M33" s="104">
        <f>H33</f>
        <v>2.5222960974942709E-2</v>
      </c>
      <c r="N33" s="76"/>
      <c r="O33" s="76"/>
    </row>
    <row r="34" spans="3:15" s="29" customFormat="1" ht="14.5" x14ac:dyDescent="0.35">
      <c r="C34" s="75" t="s">
        <v>108</v>
      </c>
      <c r="D34" s="75"/>
      <c r="E34" s="101"/>
      <c r="F34" s="101"/>
      <c r="G34" s="101"/>
      <c r="H34" s="105">
        <f>D25*H31+D26*H32+D27*H33</f>
        <v>6.0826348682814564E-2</v>
      </c>
      <c r="I34" s="118"/>
      <c r="J34" s="125"/>
      <c r="K34" s="101"/>
      <c r="L34" s="101"/>
      <c r="M34" s="105">
        <f>J25*M31+J26*M32+J27*M33</f>
        <v>7.4707232861503464E-2</v>
      </c>
      <c r="N34" s="76"/>
      <c r="O34" s="75"/>
    </row>
    <row r="35" spans="3:15" s="30" customFormat="1" ht="14.5" x14ac:dyDescent="0.35">
      <c r="C35" s="81" t="s">
        <v>43</v>
      </c>
      <c r="D35" s="81"/>
      <c r="E35" s="101"/>
      <c r="F35" s="101"/>
      <c r="G35" s="101"/>
      <c r="H35" s="103">
        <f>'Calc|Cost Drivers'!R36</f>
        <v>0.15301801204784385</v>
      </c>
      <c r="I35" s="118"/>
      <c r="J35" s="128"/>
      <c r="K35" s="101"/>
      <c r="L35" s="101"/>
      <c r="M35" s="104">
        <f>H35</f>
        <v>0.15301801204784385</v>
      </c>
      <c r="N35" s="76"/>
      <c r="O35" s="76"/>
    </row>
    <row r="36" spans="3:15" s="30" customFormat="1" ht="14.5" x14ac:dyDescent="0.35">
      <c r="C36" s="76"/>
      <c r="D36" s="76"/>
      <c r="E36" s="76"/>
      <c r="F36" s="76"/>
      <c r="G36" s="76"/>
      <c r="H36" s="106"/>
      <c r="I36" s="119"/>
      <c r="J36" s="127"/>
      <c r="K36" s="101"/>
      <c r="L36" s="101"/>
      <c r="M36" s="106"/>
      <c r="N36" s="76"/>
      <c r="O36" s="76"/>
    </row>
    <row r="37" spans="3:15" s="30" customFormat="1" ht="14.5" x14ac:dyDescent="0.35">
      <c r="C37" s="75" t="s">
        <v>109</v>
      </c>
      <c r="D37" s="75"/>
      <c r="E37" s="75"/>
      <c r="F37" s="75"/>
      <c r="G37" s="76"/>
      <c r="H37" s="107"/>
      <c r="I37" s="120"/>
      <c r="J37" s="125"/>
      <c r="K37" s="101"/>
      <c r="L37" s="101"/>
      <c r="M37" s="107"/>
      <c r="N37" s="107"/>
      <c r="O37" s="76"/>
    </row>
    <row r="38" spans="3:15" s="30" customFormat="1" ht="14.5" x14ac:dyDescent="0.35">
      <c r="C38" s="75"/>
      <c r="D38" s="75"/>
      <c r="E38" s="75" t="s">
        <v>110</v>
      </c>
      <c r="F38" s="75" t="s">
        <v>111</v>
      </c>
      <c r="G38" s="75" t="s">
        <v>112</v>
      </c>
      <c r="H38" s="76"/>
      <c r="I38" s="118"/>
      <c r="J38" s="125"/>
      <c r="K38" s="101"/>
      <c r="L38" s="101"/>
      <c r="M38" s="107"/>
      <c r="N38" s="107"/>
      <c r="O38" s="76"/>
    </row>
    <row r="39" spans="3:15" s="30" customFormat="1" ht="14.5" x14ac:dyDescent="0.35">
      <c r="C39" s="76"/>
      <c r="D39" s="76"/>
      <c r="E39" s="108">
        <v>2006</v>
      </c>
      <c r="F39" s="108">
        <v>2019</v>
      </c>
      <c r="G39" s="109">
        <f>E39+(F39-E39)/2</f>
        <v>2012.5</v>
      </c>
      <c r="H39" s="76"/>
      <c r="I39" s="118"/>
      <c r="J39" s="125"/>
      <c r="K39" s="101"/>
      <c r="L39" s="101"/>
      <c r="M39" s="107"/>
      <c r="N39" s="107"/>
      <c r="O39" s="76"/>
    </row>
    <row r="40" spans="3:15" s="30" customFormat="1" ht="14.5" x14ac:dyDescent="0.35">
      <c r="C40" s="76" t="s">
        <v>113</v>
      </c>
      <c r="D40" s="76"/>
      <c r="E40" s="77"/>
      <c r="F40" s="77"/>
      <c r="G40" s="77"/>
      <c r="H40" s="109">
        <f>H30-$G39</f>
        <v>5.5</v>
      </c>
      <c r="I40" s="118"/>
      <c r="J40" s="127"/>
      <c r="K40" s="101"/>
      <c r="L40" s="101"/>
      <c r="M40" s="109">
        <f>H40</f>
        <v>5.5</v>
      </c>
      <c r="N40" s="107"/>
      <c r="O40" s="76"/>
    </row>
    <row r="41" spans="3:15" s="30" customFormat="1" ht="14.5" x14ac:dyDescent="0.35">
      <c r="C41" s="76" t="s">
        <v>114</v>
      </c>
      <c r="D41" s="76"/>
      <c r="E41" s="77"/>
      <c r="F41" s="77"/>
      <c r="G41" s="77"/>
      <c r="H41" s="87">
        <f>-D22*H40</f>
        <v>-7.8517056199999991E-2</v>
      </c>
      <c r="I41" s="118"/>
      <c r="J41" s="127"/>
      <c r="K41" s="101"/>
      <c r="L41" s="101"/>
      <c r="M41" s="87">
        <f>-J22*M40</f>
        <v>-7.7142583099999995E-2</v>
      </c>
      <c r="N41" s="107"/>
      <c r="O41" s="76"/>
    </row>
    <row r="42" spans="3:15" s="30" customFormat="1" ht="14.5" x14ac:dyDescent="0.35">
      <c r="C42" s="76" t="s">
        <v>115</v>
      </c>
      <c r="D42" s="76"/>
      <c r="E42" s="77"/>
      <c r="F42" s="77"/>
      <c r="G42" s="77"/>
      <c r="H42" s="87">
        <f>(1-D18-D19-D20)*H34</f>
        <v>1.2134185586769159E-3</v>
      </c>
      <c r="I42" s="118"/>
      <c r="J42" s="127"/>
      <c r="K42" s="101"/>
      <c r="L42" s="101"/>
      <c r="M42" s="87">
        <f>(1-J18-J19-J20)*M34</f>
        <v>1.2890979041170244E-3</v>
      </c>
      <c r="N42" s="107"/>
      <c r="O42" s="76"/>
    </row>
    <row r="43" spans="3:15" s="30" customFormat="1" ht="14.5" x14ac:dyDescent="0.35">
      <c r="C43" s="76" t="s">
        <v>116</v>
      </c>
      <c r="D43" s="76"/>
      <c r="E43" s="77"/>
      <c r="F43" s="77"/>
      <c r="G43" s="77"/>
      <c r="H43" s="87">
        <f>D21*H35</f>
        <v>-2.7112885436483838E-2</v>
      </c>
      <c r="I43" s="118"/>
      <c r="J43" s="127"/>
      <c r="K43" s="101"/>
      <c r="L43" s="101"/>
      <c r="M43" s="87">
        <f>J21*M35</f>
        <v>-2.3333371280220717E-2</v>
      </c>
      <c r="N43" s="107"/>
      <c r="O43" s="76"/>
    </row>
    <row r="44" spans="3:15" s="30" customFormat="1" ht="14.5" x14ac:dyDescent="0.35">
      <c r="C44" s="76"/>
      <c r="D44" s="76"/>
      <c r="E44" s="77"/>
      <c r="F44" s="77"/>
      <c r="G44" s="77"/>
      <c r="H44" s="76"/>
      <c r="I44" s="118"/>
      <c r="J44" s="127"/>
      <c r="K44" s="101"/>
      <c r="L44" s="101"/>
      <c r="M44" s="76"/>
      <c r="N44" s="107"/>
      <c r="O44" s="76"/>
    </row>
    <row r="45" spans="3:15" s="30" customFormat="1" ht="14.5" x14ac:dyDescent="0.35">
      <c r="C45" s="75" t="s">
        <v>117</v>
      </c>
      <c r="D45" s="75"/>
      <c r="E45" s="77"/>
      <c r="F45" s="77"/>
      <c r="G45" s="77"/>
      <c r="H45" s="110">
        <f>H41+H42-H43</f>
        <v>-5.0190752204839234E-2</v>
      </c>
      <c r="I45" s="118"/>
      <c r="J45" s="125"/>
      <c r="K45" s="101"/>
      <c r="L45" s="101"/>
      <c r="M45" s="110">
        <f>M41+M42-M43</f>
        <v>-5.2520113915662262E-2</v>
      </c>
      <c r="N45" s="107"/>
      <c r="O45" s="76"/>
    </row>
    <row r="46" spans="3:15" s="30" customFormat="1" ht="14.5" x14ac:dyDescent="0.35">
      <c r="C46" s="76"/>
      <c r="D46" s="76"/>
      <c r="E46" s="77"/>
      <c r="F46" s="77"/>
      <c r="G46" s="77"/>
      <c r="H46" s="76"/>
      <c r="I46" s="118"/>
      <c r="J46" s="127"/>
      <c r="K46" s="101"/>
      <c r="L46" s="101"/>
      <c r="M46" s="76"/>
      <c r="N46" s="107"/>
      <c r="O46" s="76"/>
    </row>
    <row r="47" spans="3:15" s="29" customFormat="1" ht="14.5" x14ac:dyDescent="0.35">
      <c r="C47" s="75" t="s">
        <v>118</v>
      </c>
      <c r="D47" s="75"/>
      <c r="E47" s="77"/>
      <c r="F47" s="77"/>
      <c r="G47" s="77"/>
      <c r="H47" s="111">
        <v>0</v>
      </c>
      <c r="I47" s="118"/>
      <c r="J47" s="125"/>
      <c r="K47" s="101"/>
      <c r="L47" s="101"/>
      <c r="M47" s="112">
        <f>H47</f>
        <v>0</v>
      </c>
      <c r="N47" s="107"/>
      <c r="O47" s="75"/>
    </row>
    <row r="48" spans="3:15" s="30" customFormat="1" ht="14.5" x14ac:dyDescent="0.35">
      <c r="C48" s="76"/>
      <c r="D48" s="77"/>
      <c r="E48" s="77"/>
      <c r="F48" s="77"/>
      <c r="G48" s="77"/>
      <c r="H48" s="76"/>
      <c r="I48" s="118"/>
      <c r="J48" s="122"/>
      <c r="K48" s="101"/>
      <c r="L48" s="101"/>
      <c r="M48" s="76"/>
      <c r="N48" s="107"/>
      <c r="O48" s="76"/>
    </row>
    <row r="49" spans="3:15" s="48" customFormat="1" ht="14.5" x14ac:dyDescent="0.35">
      <c r="C49" s="113" t="s">
        <v>119</v>
      </c>
      <c r="D49" s="104"/>
      <c r="E49" s="77"/>
      <c r="F49" s="77"/>
      <c r="G49" s="77"/>
      <c r="H49" s="114">
        <f>(1+H34)*(1+H47)*(1-H45)-1</f>
        <v>0.11407002108191833</v>
      </c>
      <c r="I49" s="118"/>
      <c r="J49" s="129"/>
      <c r="K49" s="101"/>
      <c r="L49" s="101"/>
      <c r="M49" s="114">
        <f>(1+M34)*(1+M47)*(1-M45)-1</f>
        <v>0.13115097915737595</v>
      </c>
      <c r="N49" s="107"/>
      <c r="O49" s="104"/>
    </row>
    <row r="50" spans="3:15" s="30" customFormat="1" ht="14.5" x14ac:dyDescent="0.35">
      <c r="C50" s="76"/>
      <c r="D50" s="76" t="str">
        <f>'Calc|Cost Drivers'!J32</f>
        <v>Average 2006-2019</v>
      </c>
      <c r="E50" s="77"/>
      <c r="F50" s="77"/>
      <c r="G50" s="77"/>
      <c r="H50" s="76" t="s">
        <v>120</v>
      </c>
      <c r="I50" s="118"/>
      <c r="J50" s="129" t="str">
        <f>D50</f>
        <v>Average 2006-2019</v>
      </c>
      <c r="K50" s="101"/>
      <c r="L50" s="101"/>
      <c r="M50" s="76" t="s">
        <v>120</v>
      </c>
      <c r="N50" s="107"/>
      <c r="O50" s="76"/>
    </row>
    <row r="51" spans="3:15" s="40" customFormat="1" ht="14.5" x14ac:dyDescent="0.35">
      <c r="C51" s="116" t="str">
        <f>"Target opex ($'000CY2018)_"&amp;G18</f>
        <v>Target opex ($'000CY2018)_No OEF</v>
      </c>
      <c r="D51" s="117">
        <f>'Calc|Cost Drivers'!$J$37*(1-H18)</f>
        <v>68827.082392881654</v>
      </c>
      <c r="E51" s="77"/>
      <c r="F51" s="77"/>
      <c r="G51" s="77"/>
      <c r="H51" s="88">
        <f>D51*(1+H$49)</f>
        <v>76678.18913244459</v>
      </c>
      <c r="I51" s="118"/>
      <c r="J51" s="130">
        <f>'Calc|Cost Drivers'!$J$37*(1-M18)</f>
        <v>67223.965043739518</v>
      </c>
      <c r="K51" s="101"/>
      <c r="L51" s="101"/>
      <c r="M51" s="88">
        <f>J51*(1+M$49)</f>
        <v>76040.453882067173</v>
      </c>
      <c r="N51" s="107"/>
      <c r="O51" s="115"/>
    </row>
    <row r="52" spans="3:15" s="40" customFormat="1" ht="14.5" x14ac:dyDescent="0.35">
      <c r="C52" s="116" t="str">
        <f>"Target opex ($'000CY2018)_"&amp;G19</f>
        <v>Target opex ($'000CY2018)_Veg man OEF</v>
      </c>
      <c r="D52" s="117">
        <f>'Calc|Cost Drivers'!$J$37*(1-H19)</f>
        <v>67995.12847525398</v>
      </c>
      <c r="E52" s="77"/>
      <c r="F52" s="77"/>
      <c r="G52" s="77"/>
      <c r="H52" s="88">
        <f>D52*(1+H$49)</f>
        <v>75751.334213893948</v>
      </c>
      <c r="I52" s="118"/>
      <c r="J52" s="130">
        <f>'Calc|Cost Drivers'!$J$37*(1-M19)</f>
        <v>66411.388959846285</v>
      </c>
      <c r="K52" s="101"/>
      <c r="L52" s="101"/>
      <c r="M52" s="88">
        <f>J52*(1+M$49)</f>
        <v>75121.307649131471</v>
      </c>
      <c r="N52" s="107"/>
      <c r="O52" s="115"/>
    </row>
    <row r="53" spans="3:15" s="40" customFormat="1" ht="14.5" x14ac:dyDescent="0.35">
      <c r="C53" s="50"/>
      <c r="N53" s="49"/>
    </row>
    <row r="54" spans="3:15" s="47" customFormat="1" ht="14.5" x14ac:dyDescent="0.35">
      <c r="C54" s="91" t="s">
        <v>121</v>
      </c>
      <c r="D54" s="46"/>
    </row>
    <row r="55" spans="3:15" s="93" customFormat="1" x14ac:dyDescent="0.25">
      <c r="D55" s="94"/>
    </row>
    <row r="56" spans="3:15" s="30" customFormat="1" ht="14.5" x14ac:dyDescent="0.35">
      <c r="C56" s="76"/>
      <c r="D56" s="55" t="str">
        <f>D16</f>
        <v>SFA CD</v>
      </c>
      <c r="E56" s="76"/>
      <c r="F56" s="76"/>
      <c r="G56" s="76"/>
      <c r="H56" s="76"/>
      <c r="I56" s="118"/>
      <c r="J56" s="121" t="str">
        <f>J16</f>
        <v>LSE CD</v>
      </c>
      <c r="K56" s="76"/>
      <c r="L56" s="76"/>
      <c r="M56" s="76"/>
      <c r="N56" s="76"/>
      <c r="O56" s="76"/>
    </row>
    <row r="57" spans="3:15" s="30" customFormat="1" ht="14.5" x14ac:dyDescent="0.35">
      <c r="C57" s="75" t="s">
        <v>95</v>
      </c>
      <c r="D57" s="77" t="str">
        <f>D$17</f>
        <v>Coefficients</v>
      </c>
      <c r="E57" s="76"/>
      <c r="F57" s="76"/>
      <c r="G57" s="55" t="str">
        <f>G17</f>
        <v>Target opex reduction after ex post OEF adjustment</v>
      </c>
      <c r="H57" s="77" t="str">
        <f>H17</f>
        <v>Standard</v>
      </c>
      <c r="I57" s="118"/>
      <c r="J57" s="131" t="str">
        <f>J$17</f>
        <v>Coefficients</v>
      </c>
      <c r="K57" s="76"/>
      <c r="L57" s="55" t="s">
        <v>97</v>
      </c>
      <c r="M57" s="75" t="str">
        <f>M17</f>
        <v>Standard</v>
      </c>
      <c r="N57" s="76"/>
      <c r="O57" s="76"/>
    </row>
    <row r="58" spans="3:15" s="30" customFormat="1" ht="14.5" x14ac:dyDescent="0.35">
      <c r="C58" s="81" t="s">
        <v>99</v>
      </c>
      <c r="D58" s="95">
        <v>0.50809788339999995</v>
      </c>
      <c r="E58" s="76"/>
      <c r="F58" s="76"/>
      <c r="G58" s="76" t="str">
        <f>G18</f>
        <v>No OEF</v>
      </c>
      <c r="H58" s="96">
        <f>'Calc|Eff Target'!Q19</f>
        <v>0.13767249862798092</v>
      </c>
      <c r="I58" s="118"/>
      <c r="J58" s="123">
        <v>0.60236224279999995</v>
      </c>
      <c r="K58" s="76"/>
      <c r="L58" s="76" t="str">
        <f>G18</f>
        <v>No OEF</v>
      </c>
      <c r="M58" s="132">
        <f>'Calc|Eff Target'!Q38</f>
        <v>0.16500659957343977</v>
      </c>
      <c r="N58" s="76"/>
      <c r="O58" s="76"/>
    </row>
    <row r="59" spans="3:15" s="30" customFormat="1" ht="14.5" x14ac:dyDescent="0.35">
      <c r="C59" s="81" t="s">
        <v>100</v>
      </c>
      <c r="D59" s="95">
        <v>0.18589121210000001</v>
      </c>
      <c r="E59" s="76"/>
      <c r="F59" s="76"/>
      <c r="G59" s="97" t="str">
        <f>G19</f>
        <v>Veg man OEF</v>
      </c>
      <c r="H59" s="96">
        <f>'Calc|Eff Target'!Q20</f>
        <v>0.15388677884287083</v>
      </c>
      <c r="I59" s="118"/>
      <c r="J59" s="123">
        <v>0.1823101741</v>
      </c>
      <c r="K59" s="76"/>
      <c r="L59" s="97" t="str">
        <f>G19</f>
        <v>Veg man OEF</v>
      </c>
      <c r="M59" s="132">
        <f>'Calc|Eff Target'!Q39</f>
        <v>0.18070691871037892</v>
      </c>
      <c r="N59" s="76"/>
      <c r="O59" s="76"/>
    </row>
    <row r="60" spans="3:15" s="30" customFormat="1" ht="14.5" x14ac:dyDescent="0.35">
      <c r="C60" s="81" t="s">
        <v>101</v>
      </c>
      <c r="D60" s="95">
        <v>0.28328790929999997</v>
      </c>
      <c r="E60" s="76"/>
      <c r="F60" s="76"/>
      <c r="G60" s="76"/>
      <c r="H60" s="76"/>
      <c r="I60" s="118"/>
      <c r="J60" s="123">
        <v>0.2054063133</v>
      </c>
      <c r="K60" s="76"/>
      <c r="L60" s="76"/>
      <c r="M60" s="76"/>
      <c r="N60" s="76"/>
      <c r="O60" s="76"/>
    </row>
    <row r="61" spans="3:15" s="30" customFormat="1" ht="12.75" customHeight="1" x14ac:dyDescent="0.35">
      <c r="C61" s="81" t="s">
        <v>102</v>
      </c>
      <c r="D61" s="95">
        <v>-0.1249669309</v>
      </c>
      <c r="E61" s="76"/>
      <c r="F61" s="76"/>
      <c r="G61" s="76"/>
      <c r="H61" s="76"/>
      <c r="I61" s="118"/>
      <c r="J61" s="123">
        <v>-0.16305243950000001</v>
      </c>
      <c r="K61" s="76"/>
      <c r="L61" s="76"/>
      <c r="M61" s="76"/>
      <c r="N61" s="76"/>
      <c r="O61" s="76"/>
    </row>
    <row r="62" spans="3:15" s="30" customFormat="1" ht="12.75" customHeight="1" x14ac:dyDescent="0.35">
      <c r="C62" s="81" t="s">
        <v>103</v>
      </c>
      <c r="D62" s="95">
        <v>4.7847805000000004E-3</v>
      </c>
      <c r="E62" s="76"/>
      <c r="F62" s="76"/>
      <c r="G62" s="76"/>
      <c r="H62" s="76"/>
      <c r="I62" s="118"/>
      <c r="J62" s="123">
        <v>6.4517441999999998E-3</v>
      </c>
      <c r="K62" s="76"/>
      <c r="L62" s="76"/>
      <c r="M62" s="76"/>
      <c r="N62" s="76"/>
      <c r="O62" s="76"/>
    </row>
    <row r="63" spans="3:15" s="30" customFormat="1" ht="14.5" x14ac:dyDescent="0.35">
      <c r="C63" s="76"/>
      <c r="D63" s="97"/>
      <c r="E63" s="76"/>
      <c r="F63" s="76"/>
      <c r="G63" s="76"/>
      <c r="H63" s="76"/>
      <c r="I63" s="118"/>
      <c r="J63" s="124"/>
      <c r="K63" s="76"/>
      <c r="L63" s="76"/>
      <c r="M63" s="76"/>
      <c r="N63" s="76"/>
      <c r="O63" s="76"/>
    </row>
    <row r="64" spans="3:15" s="30" customFormat="1" ht="14.5" x14ac:dyDescent="0.35">
      <c r="C64" s="76"/>
      <c r="D64" s="75" t="str">
        <f>D24</f>
        <v>Output Weights</v>
      </c>
      <c r="E64" s="76"/>
      <c r="F64" s="76"/>
      <c r="G64" s="76"/>
      <c r="H64" s="76"/>
      <c r="I64" s="118"/>
      <c r="J64" s="125" t="str">
        <f>D64</f>
        <v>Output Weights</v>
      </c>
      <c r="K64" s="76"/>
      <c r="L64" s="76"/>
      <c r="M64" s="76"/>
      <c r="N64" s="76"/>
      <c r="O64" s="76"/>
    </row>
    <row r="65" spans="3:15" s="30" customFormat="1" ht="14.5" x14ac:dyDescent="0.35">
      <c r="C65" s="98" t="s">
        <v>105</v>
      </c>
      <c r="D65" s="99">
        <f>D58/SUM(D$58:D$60)</f>
        <v>0.51991183758998027</v>
      </c>
      <c r="E65" s="76"/>
      <c r="F65" s="76"/>
      <c r="G65" s="76"/>
      <c r="H65" s="76"/>
      <c r="I65" s="118"/>
      <c r="J65" s="126">
        <f>J58/SUM(J$58:J$60)</f>
        <v>0.60839832674551075</v>
      </c>
      <c r="K65" s="76"/>
      <c r="L65" s="76"/>
      <c r="M65" s="76"/>
      <c r="N65" s="76"/>
      <c r="O65" s="76"/>
    </row>
    <row r="66" spans="3:15" s="30" customFormat="1" ht="14.5" x14ac:dyDescent="0.35">
      <c r="C66" s="98" t="s">
        <v>37</v>
      </c>
      <c r="D66" s="99">
        <f>D59/SUM(D$58:D$60)</f>
        <v>0.19021343097911397</v>
      </c>
      <c r="E66" s="76"/>
      <c r="F66" s="76"/>
      <c r="G66" s="76"/>
      <c r="H66" s="76"/>
      <c r="I66" s="118"/>
      <c r="J66" s="126">
        <f>J59/SUM(J$58:J$60)</f>
        <v>0.18413704742770567</v>
      </c>
      <c r="K66" s="76"/>
      <c r="L66" s="76"/>
      <c r="M66" s="76"/>
      <c r="N66" s="76"/>
      <c r="O66" s="76"/>
    </row>
    <row r="67" spans="3:15" s="30" customFormat="1" ht="14.5" x14ac:dyDescent="0.35">
      <c r="C67" s="98" t="s">
        <v>58</v>
      </c>
      <c r="D67" s="99">
        <f>D60/SUM(D$58:D$60)</f>
        <v>0.28987473143090575</v>
      </c>
      <c r="E67" s="76"/>
      <c r="F67" s="76"/>
      <c r="G67" s="76"/>
      <c r="H67" s="76"/>
      <c r="I67" s="118"/>
      <c r="J67" s="126">
        <f>J60/SUM(J$58:J$60)</f>
        <v>0.2074646258267836</v>
      </c>
      <c r="K67" s="76"/>
      <c r="L67" s="76"/>
      <c r="M67" s="76"/>
      <c r="N67" s="76"/>
      <c r="O67" s="76"/>
    </row>
    <row r="68" spans="3:15" s="30" customFormat="1" ht="14.5" x14ac:dyDescent="0.35">
      <c r="C68" s="76"/>
      <c r="D68" s="97"/>
      <c r="E68" s="76"/>
      <c r="F68" s="76"/>
      <c r="G68" s="76"/>
      <c r="H68" s="76"/>
      <c r="I68" s="118"/>
      <c r="J68" s="124"/>
      <c r="K68" s="76"/>
      <c r="L68" s="76"/>
      <c r="M68" s="76"/>
      <c r="N68" s="76"/>
      <c r="O68" s="76"/>
    </row>
    <row r="69" spans="3:15" s="30" customFormat="1" ht="14.5" x14ac:dyDescent="0.35">
      <c r="C69" s="75" t="s">
        <v>106</v>
      </c>
      <c r="D69" s="76"/>
      <c r="E69" s="77"/>
      <c r="F69" s="77"/>
      <c r="G69" s="77"/>
      <c r="H69" s="100" t="str">
        <f>H29</f>
        <v>Rate of change from Midpoint to End year</v>
      </c>
      <c r="I69" s="118"/>
      <c r="J69" s="127"/>
      <c r="K69" s="77"/>
      <c r="L69" s="77"/>
      <c r="M69" s="100" t="str">
        <f>M29</f>
        <v>Rate of change from Midpoint to End year</v>
      </c>
      <c r="N69" s="76"/>
      <c r="O69" s="76"/>
    </row>
    <row r="70" spans="3:15" s="30" customFormat="1" ht="14.5" x14ac:dyDescent="0.35">
      <c r="C70" s="76"/>
      <c r="D70" s="76"/>
      <c r="E70" s="101"/>
      <c r="F70" s="101"/>
      <c r="G70" s="101"/>
      <c r="H70" s="101">
        <f>H30</f>
        <v>2018</v>
      </c>
      <c r="I70" s="118"/>
      <c r="J70" s="127"/>
      <c r="K70" s="101"/>
      <c r="L70" s="101"/>
      <c r="M70" s="101">
        <f>M30</f>
        <v>2018</v>
      </c>
      <c r="N70" s="76"/>
      <c r="O70" s="76"/>
    </row>
    <row r="71" spans="3:15" s="30" customFormat="1" ht="14.5" x14ac:dyDescent="0.35">
      <c r="C71" s="81" t="s">
        <v>35</v>
      </c>
      <c r="D71" s="81"/>
      <c r="E71" s="101"/>
      <c r="F71" s="101"/>
      <c r="G71" s="101"/>
      <c r="H71" s="133">
        <f>'Calc|Cost Drivers'!S33</f>
        <v>5.0253193454268291E-2</v>
      </c>
      <c r="I71" s="118"/>
      <c r="J71" s="128"/>
      <c r="K71" s="101"/>
      <c r="L71" s="101"/>
      <c r="M71" s="104">
        <f>H71</f>
        <v>5.0253193454268291E-2</v>
      </c>
      <c r="N71" s="76"/>
      <c r="O71" s="76"/>
    </row>
    <row r="72" spans="3:15" s="30" customFormat="1" ht="12.75" customHeight="1" x14ac:dyDescent="0.35">
      <c r="C72" s="81" t="s">
        <v>37</v>
      </c>
      <c r="D72" s="81"/>
      <c r="E72" s="101"/>
      <c r="F72" s="101"/>
      <c r="G72" s="101"/>
      <c r="H72" s="133">
        <f>'Calc|Cost Drivers'!S34</f>
        <v>3.9907240588299787E-2</v>
      </c>
      <c r="I72" s="118"/>
      <c r="J72" s="128"/>
      <c r="K72" s="101"/>
      <c r="L72" s="101"/>
      <c r="M72" s="104">
        <f>H72</f>
        <v>3.9907240588299787E-2</v>
      </c>
      <c r="N72" s="76"/>
      <c r="O72" s="76"/>
    </row>
    <row r="73" spans="3:15" s="30" customFormat="1" ht="13.5" customHeight="1" x14ac:dyDescent="0.35">
      <c r="C73" s="81" t="s">
        <v>58</v>
      </c>
      <c r="D73" s="81"/>
      <c r="E73" s="101"/>
      <c r="F73" s="101"/>
      <c r="G73" s="101"/>
      <c r="H73" s="133">
        <f>'Calc|Cost Drivers'!S35</f>
        <v>-7.8157765745261393E-4</v>
      </c>
      <c r="I73" s="118"/>
      <c r="J73" s="128"/>
      <c r="K73" s="101"/>
      <c r="L73" s="101"/>
      <c r="M73" s="104">
        <f>H73</f>
        <v>-7.8157765745261393E-4</v>
      </c>
      <c r="N73" s="76"/>
      <c r="O73" s="76"/>
    </row>
    <row r="74" spans="3:15" s="29" customFormat="1" ht="14.5" x14ac:dyDescent="0.35">
      <c r="C74" s="75" t="s">
        <v>108</v>
      </c>
      <c r="D74" s="75"/>
      <c r="E74" s="101"/>
      <c r="F74" s="101"/>
      <c r="G74" s="101"/>
      <c r="H74" s="105">
        <f>D65*H71+D66*H72+D67*H73</f>
        <v>3.349156369323638E-2</v>
      </c>
      <c r="I74" s="118"/>
      <c r="J74" s="125"/>
      <c r="K74" s="101"/>
      <c r="L74" s="101"/>
      <c r="M74" s="105">
        <f>J65*M71+J66*M72+J67*M73</f>
        <v>3.7760210547853917E-2</v>
      </c>
      <c r="N74" s="76"/>
      <c r="O74" s="75"/>
    </row>
    <row r="75" spans="3:15" s="30" customFormat="1" ht="14.5" x14ac:dyDescent="0.35">
      <c r="C75" s="81" t="s">
        <v>43</v>
      </c>
      <c r="D75" s="81"/>
      <c r="E75" s="101"/>
      <c r="F75" s="101"/>
      <c r="G75" s="101"/>
      <c r="H75" s="133">
        <f>'Calc|Cost Drivers'!$S$36</f>
        <v>7.8110725914153203E-2</v>
      </c>
      <c r="I75" s="118"/>
      <c r="J75" s="128"/>
      <c r="K75" s="101"/>
      <c r="L75" s="101"/>
      <c r="M75" s="104">
        <f>H75</f>
        <v>7.8110725914153203E-2</v>
      </c>
      <c r="N75" s="76"/>
      <c r="O75" s="76"/>
    </row>
    <row r="76" spans="3:15" s="30" customFormat="1" ht="14.5" x14ac:dyDescent="0.35">
      <c r="C76" s="76"/>
      <c r="D76" s="76"/>
      <c r="E76" s="76"/>
      <c r="F76" s="76"/>
      <c r="G76" s="76"/>
      <c r="H76" s="106"/>
      <c r="I76" s="118"/>
      <c r="J76" s="127"/>
      <c r="K76" s="101"/>
      <c r="L76" s="101"/>
      <c r="M76" s="106"/>
      <c r="N76" s="106"/>
      <c r="O76" s="76"/>
    </row>
    <row r="77" spans="3:15" s="30" customFormat="1" ht="14.5" x14ac:dyDescent="0.35">
      <c r="C77" s="75" t="s">
        <v>109</v>
      </c>
      <c r="D77" s="75"/>
      <c r="E77" s="75"/>
      <c r="F77" s="75"/>
      <c r="G77" s="76"/>
      <c r="H77" s="107"/>
      <c r="I77" s="120"/>
      <c r="J77" s="125"/>
      <c r="K77" s="101"/>
      <c r="L77" s="101"/>
      <c r="M77" s="107"/>
      <c r="N77" s="107"/>
      <c r="O77" s="76"/>
    </row>
    <row r="78" spans="3:15" s="30" customFormat="1" ht="14.5" x14ac:dyDescent="0.35">
      <c r="C78" s="75"/>
      <c r="D78" s="75"/>
      <c r="E78" s="75" t="s">
        <v>110</v>
      </c>
      <c r="F78" s="75" t="s">
        <v>111</v>
      </c>
      <c r="G78" s="75" t="s">
        <v>112</v>
      </c>
      <c r="H78" s="76"/>
      <c r="I78" s="118"/>
      <c r="J78" s="125"/>
      <c r="K78" s="101"/>
      <c r="L78" s="101"/>
      <c r="M78" s="107"/>
      <c r="N78" s="107"/>
      <c r="O78" s="76"/>
    </row>
    <row r="79" spans="3:15" s="30" customFormat="1" ht="14.5" x14ac:dyDescent="0.35">
      <c r="C79" s="76"/>
      <c r="D79" s="76"/>
      <c r="E79" s="108">
        <v>2012</v>
      </c>
      <c r="F79" s="108">
        <f>F39</f>
        <v>2019</v>
      </c>
      <c r="G79" s="109">
        <f>E79+(F79-E79)/2</f>
        <v>2015.5</v>
      </c>
      <c r="H79" s="76"/>
      <c r="I79" s="118"/>
      <c r="J79" s="125"/>
      <c r="K79" s="101"/>
      <c r="L79" s="101"/>
      <c r="M79" s="107"/>
      <c r="N79" s="107"/>
      <c r="O79" s="76"/>
    </row>
    <row r="80" spans="3:15" s="30" customFormat="1" ht="14.5" x14ac:dyDescent="0.35">
      <c r="C80" s="76" t="s">
        <v>113</v>
      </c>
      <c r="D80" s="76"/>
      <c r="E80" s="77"/>
      <c r="F80" s="77"/>
      <c r="G80" s="77"/>
      <c r="H80" s="109">
        <f>H70-$G79</f>
        <v>2.5</v>
      </c>
      <c r="I80" s="118"/>
      <c r="J80" s="127"/>
      <c r="K80" s="101"/>
      <c r="L80" s="101"/>
      <c r="M80" s="109">
        <f>H80</f>
        <v>2.5</v>
      </c>
      <c r="N80" s="107"/>
      <c r="O80" s="76"/>
    </row>
    <row r="81" spans="2:15" s="30" customFormat="1" ht="14.5" x14ac:dyDescent="0.35">
      <c r="C81" s="76" t="s">
        <v>114</v>
      </c>
      <c r="D81" s="76"/>
      <c r="E81" s="77"/>
      <c r="F81" s="77"/>
      <c r="G81" s="77"/>
      <c r="H81" s="87">
        <f>-D62*H80</f>
        <v>-1.1961951250000002E-2</v>
      </c>
      <c r="I81" s="118"/>
      <c r="J81" s="127"/>
      <c r="K81" s="101"/>
      <c r="L81" s="101"/>
      <c r="M81" s="87">
        <f>-J62*M80</f>
        <v>-1.6129360499999999E-2</v>
      </c>
      <c r="N81" s="107"/>
      <c r="O81" s="76"/>
    </row>
    <row r="82" spans="2:15" s="30" customFormat="1" ht="14.5" x14ac:dyDescent="0.35">
      <c r="C82" s="76" t="s">
        <v>115</v>
      </c>
      <c r="D82" s="76"/>
      <c r="E82" s="77"/>
      <c r="F82" s="77"/>
      <c r="G82" s="77"/>
      <c r="H82" s="87">
        <f>(1-D58-D59-D60)*H74</f>
        <v>7.6102864104190583E-4</v>
      </c>
      <c r="I82" s="118"/>
      <c r="J82" s="127"/>
      <c r="K82" s="101"/>
      <c r="L82" s="101"/>
      <c r="M82" s="87">
        <f>(1-J58-J59-J60)*M74</f>
        <v>3.7462923655006639E-4</v>
      </c>
      <c r="N82" s="107"/>
      <c r="O82" s="76"/>
    </row>
    <row r="83" spans="2:15" s="30" customFormat="1" ht="14.5" x14ac:dyDescent="0.35">
      <c r="C83" s="76" t="s">
        <v>116</v>
      </c>
      <c r="D83" s="76"/>
      <c r="E83" s="77"/>
      <c r="F83" s="77"/>
      <c r="G83" s="77"/>
      <c r="H83" s="87">
        <f>D61*H75</f>
        <v>-9.7612576878628229E-3</v>
      </c>
      <c r="I83" s="118"/>
      <c r="J83" s="127"/>
      <c r="K83" s="101"/>
      <c r="L83" s="101"/>
      <c r="M83" s="87">
        <f>J61*M75</f>
        <v>-1.2736144411418548E-2</v>
      </c>
      <c r="N83" s="107"/>
      <c r="O83" s="76"/>
    </row>
    <row r="84" spans="2:15" s="30" customFormat="1" ht="14.5" x14ac:dyDescent="0.35">
      <c r="C84" s="76"/>
      <c r="D84" s="76"/>
      <c r="E84" s="77"/>
      <c r="F84" s="77"/>
      <c r="G84" s="77"/>
      <c r="H84" s="76"/>
      <c r="I84" s="118"/>
      <c r="J84" s="127"/>
      <c r="K84" s="101"/>
      <c r="L84" s="101"/>
      <c r="M84" s="76"/>
      <c r="N84" s="107"/>
      <c r="O84" s="76"/>
    </row>
    <row r="85" spans="2:15" s="30" customFormat="1" ht="14.5" x14ac:dyDescent="0.35">
      <c r="C85" s="75" t="s">
        <v>117</v>
      </c>
      <c r="D85" s="75"/>
      <c r="E85" s="77"/>
      <c r="F85" s="77"/>
      <c r="G85" s="77"/>
      <c r="H85" s="110">
        <f>H81+H82-H83</f>
        <v>-1.4396649210952732E-3</v>
      </c>
      <c r="I85" s="118"/>
      <c r="J85" s="125"/>
      <c r="K85" s="101"/>
      <c r="L85" s="101"/>
      <c r="M85" s="110">
        <f>M81+M82-M83</f>
        <v>-3.0185868520313849E-3</v>
      </c>
      <c r="N85" s="107"/>
      <c r="O85" s="76"/>
    </row>
    <row r="86" spans="2:15" s="30" customFormat="1" ht="14.5" x14ac:dyDescent="0.35">
      <c r="C86" s="76"/>
      <c r="D86" s="76"/>
      <c r="E86" s="77"/>
      <c r="F86" s="77"/>
      <c r="G86" s="77"/>
      <c r="H86" s="76"/>
      <c r="I86" s="118"/>
      <c r="J86" s="127"/>
      <c r="K86" s="101"/>
      <c r="L86" s="101"/>
      <c r="M86" s="76"/>
      <c r="N86" s="107"/>
      <c r="O86" s="76"/>
    </row>
    <row r="87" spans="2:15" s="29" customFormat="1" ht="14.5" x14ac:dyDescent="0.35">
      <c r="C87" s="75" t="s">
        <v>118</v>
      </c>
      <c r="D87" s="75"/>
      <c r="E87" s="77"/>
      <c r="F87" s="77"/>
      <c r="G87" s="77"/>
      <c r="H87" s="112">
        <f>$H$47</f>
        <v>0</v>
      </c>
      <c r="I87" s="118"/>
      <c r="J87" s="125"/>
      <c r="K87" s="101"/>
      <c r="L87" s="101"/>
      <c r="M87" s="112">
        <f>H87</f>
        <v>0</v>
      </c>
      <c r="N87" s="107"/>
      <c r="O87" s="75"/>
    </row>
    <row r="88" spans="2:15" s="30" customFormat="1" ht="14.5" x14ac:dyDescent="0.35">
      <c r="C88" s="76"/>
      <c r="D88" s="77"/>
      <c r="E88" s="77"/>
      <c r="F88" s="77"/>
      <c r="G88" s="77"/>
      <c r="H88" s="76"/>
      <c r="I88" s="118"/>
      <c r="J88" s="122"/>
      <c r="K88" s="101"/>
      <c r="L88" s="101"/>
      <c r="M88" s="76"/>
      <c r="N88" s="107"/>
      <c r="O88" s="76"/>
    </row>
    <row r="89" spans="2:15" s="48" customFormat="1" ht="14.5" x14ac:dyDescent="0.35">
      <c r="C89" s="113" t="s">
        <v>119</v>
      </c>
      <c r="D89" s="104"/>
      <c r="E89" s="77"/>
      <c r="F89" s="77"/>
      <c r="G89" s="77"/>
      <c r="H89" s="114">
        <f>(1+H74)*(1+H87)*(1-H85)-1</f>
        <v>3.4979445243733531E-2</v>
      </c>
      <c r="I89" s="118"/>
      <c r="J89" s="129"/>
      <c r="K89" s="101"/>
      <c r="L89" s="101"/>
      <c r="M89" s="114">
        <f>(1+M74)*(1+M87)*(1-M85)-1</f>
        <v>4.0892779874974972E-2</v>
      </c>
      <c r="N89" s="107"/>
      <c r="O89" s="104"/>
    </row>
    <row r="90" spans="2:15" s="30" customFormat="1" ht="14.5" x14ac:dyDescent="0.35">
      <c r="C90" s="76"/>
      <c r="D90" s="76" t="str">
        <f>'Calc|Cost Drivers'!L32</f>
        <v>Average 2012-2019</v>
      </c>
      <c r="E90" s="77"/>
      <c r="F90" s="77"/>
      <c r="G90" s="77"/>
      <c r="H90" s="76" t="s">
        <v>120</v>
      </c>
      <c r="I90" s="118"/>
      <c r="J90" s="129" t="str">
        <f>D90</f>
        <v>Average 2012-2019</v>
      </c>
      <c r="K90" s="101"/>
      <c r="L90" s="101"/>
      <c r="M90" s="76" t="s">
        <v>120</v>
      </c>
      <c r="N90" s="107"/>
      <c r="O90" s="76"/>
    </row>
    <row r="91" spans="2:15" s="40" customFormat="1" ht="14.5" x14ac:dyDescent="0.35">
      <c r="C91" s="116" t="str">
        <f>C51</f>
        <v>Target opex ($'000CY2018)_No OEF</v>
      </c>
      <c r="D91" s="117">
        <f>'Calc|Cost Drivers'!$L$37*(1-H58)</f>
        <v>71869.99409389442</v>
      </c>
      <c r="E91" s="77"/>
      <c r="F91" s="77"/>
      <c r="G91" s="77"/>
      <c r="H91" s="88">
        <f>D91*(1+H$89)</f>
        <v>74383.96661696925</v>
      </c>
      <c r="I91" s="118"/>
      <c r="J91" s="130">
        <f>'Calc|Cost Drivers'!$L$37*(1-M58)</f>
        <v>69591.855370049496</v>
      </c>
      <c r="K91" s="101"/>
      <c r="L91" s="101"/>
      <c r="M91" s="88">
        <f>J91*(1+M$89)</f>
        <v>72437.659792788021</v>
      </c>
      <c r="N91" s="107"/>
      <c r="O91" s="115"/>
    </row>
    <row r="92" spans="2:15" s="40" customFormat="1" ht="14.5" x14ac:dyDescent="0.35">
      <c r="C92" s="116" t="str">
        <f>C52</f>
        <v>Target opex ($'000CY2018)_Veg man OEF</v>
      </c>
      <c r="D92" s="117">
        <f>'Calc|Cost Drivers'!$L$37*(1-H59)</f>
        <v>70518.627911757372</v>
      </c>
      <c r="E92" s="77"/>
      <c r="F92" s="77"/>
      <c r="G92" s="77"/>
      <c r="H92" s="88">
        <f>D92*(1+H$89)</f>
        <v>72985.330395459911</v>
      </c>
      <c r="I92" s="118"/>
      <c r="J92" s="130">
        <f>'Calc|Cost Drivers'!$L$37*(1-M59)</f>
        <v>68283.324861804373</v>
      </c>
      <c r="K92" s="101"/>
      <c r="L92" s="101"/>
      <c r="M92" s="88">
        <f>J92*(1+M$89)</f>
        <v>71075.619834509547</v>
      </c>
      <c r="N92" s="107"/>
      <c r="O92" s="115"/>
    </row>
    <row r="93" spans="2:15" ht="14.5" x14ac:dyDescent="0.35">
      <c r="I93" s="30"/>
      <c r="J93" s="30"/>
    </row>
    <row r="94" spans="2:15" s="24" customFormat="1" ht="13" x14ac:dyDescent="0.3">
      <c r="B94" s="25" t="s">
        <v>122</v>
      </c>
      <c r="C94" s="26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Output|Benchmarking Results</vt:lpstr>
      <vt:lpstr>Common CAM-&gt;</vt:lpstr>
      <vt:lpstr>Input|Opex</vt:lpstr>
      <vt:lpstr>Calc|Cost Drivers</vt:lpstr>
      <vt:lpstr>Calc|Eff Target</vt:lpstr>
      <vt:lpstr>Calc|Opex Forecasts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2020-12-08T01:29:06Z</dcterms:created>
  <dcterms:modified xsi:type="dcterms:W3CDTF">2020-12-08T01:29:27Z</dcterms:modified>
</cp:coreProperties>
</file>