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hidePivotFieldList="1" defaultThemeVersion="124226"/>
  <bookViews>
    <workbookView xWindow="-120" yWindow="-120" windowWidth="38640" windowHeight="21240" firstSheet="2" activeTab="7"/>
  </bookViews>
  <sheets>
    <sheet name="Output|Bushfire obligation OEF" sheetId="30" r:id="rId1"/>
    <sheet name="Calc|BushfireObligation_Actual" sheetId="28" r:id="rId2"/>
    <sheet name="AER Analysis-&gt;" sheetId="29" r:id="rId3"/>
    <sheet name="Summary" sheetId="21" r:id="rId4"/>
    <sheet name="Divison of responsibility" sheetId="17" r:id="rId5"/>
    <sheet name="Bushfire obligations" sheetId="26" r:id="rId6"/>
    <sheet name="Bushfire obligations source" sheetId="27" r:id="rId7"/>
    <sheet name="Customer weights" sheetId="16" r:id="rId8"/>
    <sheet name="CPI-master" sheetId="25"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2" i="28" l="1"/>
  <c r="E73" i="28"/>
  <c r="E74" i="28"/>
  <c r="E75" i="28"/>
  <c r="E76" i="28"/>
  <c r="H73" i="28" l="1"/>
  <c r="E43" i="28" s="1"/>
  <c r="H76" i="28"/>
  <c r="E55" i="28" s="1"/>
  <c r="E77" i="28"/>
  <c r="H74" i="28"/>
  <c r="E44" i="28" s="1"/>
  <c r="H72" i="28"/>
  <c r="E53" i="28"/>
  <c r="E46" i="28" l="1"/>
  <c r="E52" i="28"/>
  <c r="H77" i="28"/>
  <c r="E42" i="28"/>
  <c r="F75" i="28"/>
  <c r="F77" i="28"/>
  <c r="F74" i="28"/>
  <c r="F73" i="28"/>
  <c r="F76" i="28"/>
  <c r="F72" i="28"/>
  <c r="E51" i="28"/>
  <c r="Q61" i="28" l="1"/>
  <c r="Q62" i="28"/>
  <c r="P33" i="28"/>
  <c r="P34" i="28"/>
  <c r="P36" i="28"/>
  <c r="P37" i="28"/>
  <c r="P24" i="28"/>
  <c r="P25" i="28"/>
  <c r="P27" i="28"/>
  <c r="P28" i="28"/>
  <c r="P62" i="28" l="1"/>
  <c r="O62" i="28"/>
  <c r="N62" i="28"/>
  <c r="M62" i="28"/>
  <c r="L62" i="28"/>
  <c r="K62" i="28"/>
  <c r="J62" i="28"/>
  <c r="I62" i="28"/>
  <c r="H62" i="28"/>
  <c r="G62" i="28"/>
  <c r="O37" i="28"/>
  <c r="N37" i="28"/>
  <c r="M37" i="28"/>
  <c r="L37" i="28"/>
  <c r="K37" i="28"/>
  <c r="J37" i="28"/>
  <c r="I37" i="28"/>
  <c r="H37" i="28"/>
  <c r="G37" i="28"/>
  <c r="F37" i="28"/>
  <c r="O36" i="28"/>
  <c r="N36" i="28"/>
  <c r="M36" i="28"/>
  <c r="L36" i="28"/>
  <c r="K36" i="28"/>
  <c r="J36" i="28"/>
  <c r="I36" i="28"/>
  <c r="H36" i="28"/>
  <c r="G36" i="28"/>
  <c r="F36" i="28"/>
  <c r="O34" i="28"/>
  <c r="N34" i="28"/>
  <c r="M34" i="28"/>
  <c r="L34" i="28"/>
  <c r="K34" i="28"/>
  <c r="J34" i="28"/>
  <c r="I34" i="28"/>
  <c r="H34" i="28"/>
  <c r="G34" i="28"/>
  <c r="F34" i="28"/>
  <c r="O33" i="28"/>
  <c r="N33" i="28"/>
  <c r="M33" i="28"/>
  <c r="L33" i="28"/>
  <c r="K33" i="28"/>
  <c r="J33" i="28"/>
  <c r="I33" i="28"/>
  <c r="H33" i="28"/>
  <c r="G33" i="28"/>
  <c r="F33" i="28"/>
  <c r="P61" i="28"/>
  <c r="O61" i="28"/>
  <c r="N61" i="28"/>
  <c r="M61" i="28"/>
  <c r="L61" i="28"/>
  <c r="K61" i="28"/>
  <c r="J61" i="28"/>
  <c r="I61" i="28"/>
  <c r="H61" i="28"/>
  <c r="G61" i="28"/>
  <c r="O28" i="28"/>
  <c r="N28" i="28"/>
  <c r="M28" i="28"/>
  <c r="L28" i="28"/>
  <c r="K28" i="28"/>
  <c r="J28" i="28"/>
  <c r="I28" i="28"/>
  <c r="H28" i="28"/>
  <c r="G28" i="28"/>
  <c r="F28" i="28"/>
  <c r="O27" i="28"/>
  <c r="N27" i="28"/>
  <c r="M27" i="28"/>
  <c r="L27" i="28"/>
  <c r="K27" i="28"/>
  <c r="J27" i="28"/>
  <c r="I27" i="28"/>
  <c r="H27" i="28"/>
  <c r="G27" i="28"/>
  <c r="F27" i="28"/>
  <c r="O25" i="28"/>
  <c r="N25" i="28"/>
  <c r="M25" i="28"/>
  <c r="L25" i="28"/>
  <c r="K25" i="28"/>
  <c r="J25" i="28"/>
  <c r="I25" i="28"/>
  <c r="H25" i="28"/>
  <c r="G25" i="28"/>
  <c r="F25" i="28"/>
  <c r="O24" i="28"/>
  <c r="N24" i="28"/>
  <c r="M24" i="28"/>
  <c r="L24" i="28"/>
  <c r="K24" i="28"/>
  <c r="J24" i="28"/>
  <c r="I24" i="28"/>
  <c r="H24" i="28"/>
  <c r="G24" i="28"/>
  <c r="F24" i="28"/>
  <c r="R36" i="28" l="1"/>
  <c r="R28" i="28"/>
  <c r="R24" i="28"/>
  <c r="S61" i="28"/>
  <c r="R37" i="28"/>
  <c r="R25" i="28"/>
  <c r="S62" i="28"/>
  <c r="R27" i="28"/>
  <c r="R34" i="28"/>
  <c r="R33" i="28"/>
  <c r="T46" i="28"/>
  <c r="T43" i="28"/>
  <c r="T42" i="28"/>
  <c r="D44" i="28"/>
  <c r="D53" i="28" s="1"/>
  <c r="H60" i="28"/>
  <c r="I60" i="28" s="1"/>
  <c r="J60" i="28" s="1"/>
  <c r="K60" i="28" s="1"/>
  <c r="L60" i="28" s="1"/>
  <c r="M60" i="28" s="1"/>
  <c r="N60" i="28" s="1"/>
  <c r="O60" i="28" s="1"/>
  <c r="P60" i="28" s="1"/>
  <c r="Q60" i="28" s="1"/>
  <c r="R62" i="28" l="1"/>
  <c r="Q37" i="28"/>
  <c r="Q36" i="28"/>
  <c r="Q33" i="28"/>
  <c r="Q32" i="28"/>
  <c r="Q41" i="28" s="1"/>
  <c r="R65" i="28" s="1"/>
  <c r="R32" i="28"/>
  <c r="R41" i="28" s="1"/>
  <c r="S65" i="28" s="1"/>
  <c r="F32" i="28"/>
  <c r="Q28" i="28"/>
  <c r="G23" i="28"/>
  <c r="H23" i="28" s="1"/>
  <c r="I23" i="28" s="1"/>
  <c r="J23" i="28" s="1"/>
  <c r="K23" i="28" s="1"/>
  <c r="L23" i="28" s="1"/>
  <c r="M23" i="28" s="1"/>
  <c r="N23" i="28" s="1"/>
  <c r="O23" i="28" s="1"/>
  <c r="O32" i="28" l="1"/>
  <c r="P23" i="28"/>
  <c r="P32" i="28" s="1"/>
  <c r="Q46" i="28"/>
  <c r="Q24" i="28"/>
  <c r="Q42" i="28" s="1"/>
  <c r="R46" i="28"/>
  <c r="Q34" i="28"/>
  <c r="G32" i="28"/>
  <c r="K32" i="28"/>
  <c r="J32" i="28"/>
  <c r="I32" i="28"/>
  <c r="H32" i="28"/>
  <c r="N32" i="28"/>
  <c r="M32" i="28"/>
  <c r="L32" i="28"/>
  <c r="R61" i="28"/>
  <c r="R66" i="28" s="1"/>
  <c r="Q25" i="28"/>
  <c r="Q27" i="28"/>
  <c r="S46" i="28" l="1"/>
  <c r="D46" i="28" s="1"/>
  <c r="D55" i="28" s="1"/>
  <c r="S66" i="28"/>
  <c r="T66" i="28" s="1"/>
  <c r="R53" i="28" s="1"/>
  <c r="R43" i="28"/>
  <c r="R42" i="28"/>
  <c r="S42" i="28" s="1"/>
  <c r="D42" i="28" s="1"/>
  <c r="D51" i="28" s="1"/>
  <c r="Q43" i="28"/>
  <c r="S43" i="28" l="1"/>
  <c r="D43" i="28" s="1"/>
  <c r="D52" i="28" s="1"/>
  <c r="AA48" i="28" l="1"/>
  <c r="Z48" i="28"/>
  <c r="Y48" i="28"/>
  <c r="X48" i="28"/>
  <c r="W48" i="28"/>
  <c r="AA45" i="28"/>
  <c r="Z45" i="28"/>
  <c r="Y45" i="28"/>
  <c r="X45" i="28"/>
  <c r="W45" i="28"/>
  <c r="G68" i="27" l="1"/>
  <c r="G70" i="27" s="1"/>
  <c r="H126" i="27"/>
  <c r="H118" i="27"/>
  <c r="G73" i="27"/>
  <c r="I84" i="27" l="1"/>
  <c r="D60" i="27" s="1"/>
  <c r="H84" i="27"/>
  <c r="C60" i="27" s="1"/>
  <c r="G84" i="27"/>
  <c r="B29" i="27" s="1"/>
  <c r="F84" i="27"/>
  <c r="E84" i="27"/>
  <c r="D84" i="27"/>
  <c r="C84" i="27"/>
  <c r="B84" i="27"/>
  <c r="J81" i="27"/>
  <c r="J84" i="27" s="1"/>
  <c r="E74" i="27" s="1"/>
  <c r="J80" i="27"/>
  <c r="K80" i="27" s="1"/>
  <c r="G59" i="27"/>
  <c r="F55" i="27"/>
  <c r="E55" i="27"/>
  <c r="D55" i="27"/>
  <c r="C55" i="27"/>
  <c r="B55" i="27"/>
  <c r="G54" i="27"/>
  <c r="G53" i="27"/>
  <c r="G52" i="27"/>
  <c r="G44" i="27"/>
  <c r="G39" i="27"/>
  <c r="F38" i="27"/>
  <c r="F40" i="27" s="1"/>
  <c r="E38" i="27"/>
  <c r="E40" i="27" s="1"/>
  <c r="D38" i="27"/>
  <c r="D40" i="27" s="1"/>
  <c r="C38" i="27"/>
  <c r="C40" i="27" s="1"/>
  <c r="B38" i="27"/>
  <c r="B40" i="27" s="1"/>
  <c r="G37" i="27"/>
  <c r="G36" i="27"/>
  <c r="G28" i="27"/>
  <c r="G23" i="27"/>
  <c r="F20" i="27"/>
  <c r="F22" i="27" s="1"/>
  <c r="F24" i="27" s="1"/>
  <c r="E20" i="27"/>
  <c r="E22" i="27" s="1"/>
  <c r="E24" i="27" s="1"/>
  <c r="D20" i="27"/>
  <c r="D22" i="27" s="1"/>
  <c r="D24" i="27" s="1"/>
  <c r="C20" i="27"/>
  <c r="C22" i="27" s="1"/>
  <c r="C24" i="27" s="1"/>
  <c r="B20" i="27"/>
  <c r="G19" i="27"/>
  <c r="G18" i="27"/>
  <c r="G17" i="27"/>
  <c r="G16" i="27"/>
  <c r="D10" i="27"/>
  <c r="G9" i="27"/>
  <c r="G5" i="27"/>
  <c r="F111" i="27"/>
  <c r="E60" i="27"/>
  <c r="E10" i="27"/>
  <c r="E45" i="27"/>
  <c r="E46" i="27" s="1"/>
  <c r="E29" i="27"/>
  <c r="E30" i="27" s="1"/>
  <c r="C45" i="27"/>
  <c r="C46" i="27" s="1"/>
  <c r="K81" i="27"/>
  <c r="K84" i="27" s="1"/>
  <c r="F74" i="27" s="1"/>
  <c r="E111" i="27"/>
  <c r="D29" i="27"/>
  <c r="D30" i="27" s="1"/>
  <c r="C29" i="27" l="1"/>
  <c r="C30" i="27" s="1"/>
  <c r="C10" i="27"/>
  <c r="G20" i="27"/>
  <c r="B60" i="27"/>
  <c r="B74" i="27"/>
  <c r="D111" i="27"/>
  <c r="C74" i="27"/>
  <c r="D45" i="27"/>
  <c r="D46" i="27" s="1"/>
  <c r="D74" i="27"/>
  <c r="G55" i="27"/>
  <c r="B22" i="27"/>
  <c r="G38" i="27"/>
  <c r="G40" i="27"/>
  <c r="B10" i="27"/>
  <c r="B45" i="27"/>
  <c r="B46" i="27" s="1"/>
  <c r="G111" i="27"/>
  <c r="F60" i="27"/>
  <c r="F10" i="27"/>
  <c r="F29" i="27"/>
  <c r="F30" i="27" s="1"/>
  <c r="F45" i="27"/>
  <c r="F46" i="27" s="1"/>
  <c r="B30" i="27"/>
  <c r="G29" i="27" l="1"/>
  <c r="H111" i="27"/>
  <c r="G60" i="27"/>
  <c r="G74" i="27"/>
  <c r="G75" i="27" s="1"/>
  <c r="Q53" i="28" s="1"/>
  <c r="G45" i="27"/>
  <c r="G22" i="27"/>
  <c r="B24" i="27"/>
  <c r="G24" i="27" s="1"/>
  <c r="G46" i="27"/>
  <c r="G10" i="27"/>
  <c r="G30" i="27"/>
  <c r="K51" i="26" l="1"/>
  <c r="I16" i="26"/>
  <c r="H16" i="26"/>
  <c r="G16" i="26"/>
  <c r="F16" i="26"/>
  <c r="E16" i="26"/>
  <c r="J16" i="26" s="1"/>
  <c r="C34" i="26" s="1"/>
  <c r="I13" i="26"/>
  <c r="J13" i="26" s="1"/>
  <c r="C31" i="26" s="1"/>
  <c r="H13" i="26"/>
  <c r="G13" i="26"/>
  <c r="F13" i="26"/>
  <c r="C50" i="26"/>
  <c r="C41" i="26"/>
  <c r="R35" i="26"/>
  <c r="Q35" i="26"/>
  <c r="P35" i="26"/>
  <c r="O35" i="26"/>
  <c r="N35" i="26"/>
  <c r="R32" i="26"/>
  <c r="Q32" i="26"/>
  <c r="P32" i="26"/>
  <c r="O32" i="26"/>
  <c r="N32" i="26"/>
  <c r="J25" i="26"/>
  <c r="J24" i="26"/>
  <c r="J22" i="26"/>
  <c r="J21" i="26"/>
  <c r="J15" i="26"/>
  <c r="J14" i="26"/>
  <c r="J12" i="26"/>
  <c r="C30" i="26" s="1"/>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60" i="25"/>
  <c r="D60" i="25"/>
  <c r="E59" i="25"/>
  <c r="D59" i="25"/>
  <c r="E58" i="25"/>
  <c r="D58"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E29" i="25"/>
  <c r="D29" i="25"/>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4" i="25" s="1"/>
  <c r="E15" i="25"/>
  <c r="D15" i="25"/>
  <c r="H3" i="25" s="1"/>
  <c r="E14" i="25"/>
  <c r="D14" i="25"/>
  <c r="L3" i="25" s="1"/>
  <c r="E13" i="25"/>
  <c r="D13" i="25"/>
  <c r="I4" i="25"/>
  <c r="F2" i="25"/>
  <c r="J2" i="25" l="1"/>
  <c r="M4" i="25"/>
  <c r="N2" i="25"/>
  <c r="P4" i="25"/>
  <c r="D3" i="25"/>
  <c r="D9" i="25" s="1"/>
  <c r="C33" i="26"/>
  <c r="L51" i="26" s="1"/>
  <c r="P3" i="25"/>
  <c r="P9" i="25" s="1"/>
  <c r="B2" i="25"/>
  <c r="C48" i="26"/>
  <c r="C39" i="26"/>
  <c r="C52" i="26"/>
  <c r="C43" i="26"/>
  <c r="C40" i="26"/>
  <c r="C49" i="26"/>
  <c r="G8" i="25"/>
  <c r="C2" i="25"/>
  <c r="D8" i="25" s="1"/>
  <c r="G2" i="25"/>
  <c r="H8" i="25" s="1"/>
  <c r="K2" i="25"/>
  <c r="O2" i="25"/>
  <c r="E3" i="25"/>
  <c r="E9" i="25" s="1"/>
  <c r="I3" i="25"/>
  <c r="I9" i="25" s="1"/>
  <c r="M3" i="25"/>
  <c r="B4" i="25"/>
  <c r="F4" i="25"/>
  <c r="J4" i="25"/>
  <c r="N4" i="25"/>
  <c r="L8" i="25"/>
  <c r="P8" i="25"/>
  <c r="C8" i="25"/>
  <c r="O8" i="25"/>
  <c r="M9" i="25"/>
  <c r="D2" i="25"/>
  <c r="E8" i="25" s="1"/>
  <c r="H2" i="25"/>
  <c r="I8" i="25" s="1"/>
  <c r="L2" i="25"/>
  <c r="M8" i="25" s="1"/>
  <c r="B3" i="25"/>
  <c r="F3" i="25"/>
  <c r="F9" i="25" s="1"/>
  <c r="J3" i="25"/>
  <c r="J9" i="25" s="1"/>
  <c r="N3" i="25"/>
  <c r="N9" i="25" s="1"/>
  <c r="C4" i="25"/>
  <c r="G4" i="25"/>
  <c r="K4" i="25"/>
  <c r="O4" i="25"/>
  <c r="K8" i="25"/>
  <c r="E2" i="25"/>
  <c r="F8" i="25" s="1"/>
  <c r="I2" i="25"/>
  <c r="J8" i="25" s="1"/>
  <c r="M2" i="25"/>
  <c r="N8" i="25" s="1"/>
  <c r="C3" i="25"/>
  <c r="C9" i="25" s="1"/>
  <c r="G3" i="25"/>
  <c r="G9" i="25" s="1"/>
  <c r="K3" i="25"/>
  <c r="K9" i="25" s="1"/>
  <c r="O3" i="25"/>
  <c r="O9" i="25" s="1"/>
  <c r="D4" i="25"/>
  <c r="H4" i="25"/>
  <c r="L4" i="25"/>
  <c r="H9" i="25"/>
  <c r="L9" i="25"/>
  <c r="C31" i="17" l="1"/>
  <c r="C30" i="17"/>
  <c r="C23" i="17"/>
  <c r="C22" i="17"/>
  <c r="K22" i="17"/>
  <c r="K23" i="17"/>
  <c r="K30" i="17"/>
  <c r="K31" i="17"/>
  <c r="G30" i="17"/>
  <c r="G31" i="17"/>
  <c r="G22" i="17"/>
  <c r="G23" i="17"/>
  <c r="J22" i="17"/>
  <c r="J23" i="17"/>
  <c r="J30" i="17"/>
  <c r="J31" i="17"/>
  <c r="F30" i="17"/>
  <c r="F31" i="17"/>
  <c r="F22" i="17"/>
  <c r="F23" i="17"/>
  <c r="E31" i="17"/>
  <c r="E30" i="17"/>
  <c r="E22" i="17"/>
  <c r="E23" i="17"/>
  <c r="D22" i="17"/>
  <c r="D23" i="17"/>
  <c r="D31" i="17"/>
  <c r="D30" i="17"/>
  <c r="L22" i="17"/>
  <c r="L23" i="17"/>
  <c r="L30" i="17"/>
  <c r="L31" i="17"/>
  <c r="I23" i="17"/>
  <c r="I30" i="17"/>
  <c r="I22" i="17"/>
  <c r="I31" i="17"/>
  <c r="H30" i="17"/>
  <c r="H31" i="17"/>
  <c r="H23" i="17"/>
  <c r="H22" i="17"/>
  <c r="E36" i="17" l="1"/>
  <c r="F35" i="17"/>
  <c r="F36" i="17"/>
  <c r="E35" i="17"/>
  <c r="F4" i="16" l="1"/>
  <c r="F5" i="16"/>
  <c r="F7" i="16"/>
  <c r="F3" i="16"/>
  <c r="D43" i="26" l="1"/>
  <c r="D52" i="26"/>
  <c r="D40" i="26"/>
  <c r="D49" i="26"/>
  <c r="D41" i="26"/>
  <c r="D50" i="26"/>
  <c r="F8" i="16"/>
  <c r="D48" i="26"/>
  <c r="D39" i="26"/>
  <c r="C35" i="17"/>
  <c r="D35" i="17"/>
  <c r="D36" i="17"/>
  <c r="D53" i="26" l="1"/>
  <c r="H53" i="26" s="1"/>
  <c r="S7" i="26" s="1"/>
  <c r="E47" i="28"/>
  <c r="I47" i="28" s="1"/>
  <c r="E56" i="28"/>
  <c r="I56" i="28" s="1"/>
  <c r="Q19" i="28" s="1"/>
  <c r="D44" i="26"/>
  <c r="H44" i="26" s="1"/>
  <c r="K7" i="26" s="1"/>
  <c r="K4" i="26" s="1"/>
  <c r="C6" i="21" s="1"/>
  <c r="C36" i="17"/>
  <c r="Q7" i="26" l="1"/>
  <c r="Q4" i="26" s="1"/>
  <c r="L7" i="26"/>
  <c r="L4" i="26" s="1"/>
  <c r="C11" i="21" s="1"/>
  <c r="N7" i="26"/>
  <c r="R19" i="28"/>
  <c r="R16" i="28" s="1"/>
  <c r="E10" i="30" s="1"/>
  <c r="Q16" i="28"/>
  <c r="D10" i="30" s="1"/>
  <c r="N4" i="26"/>
  <c r="G6" i="21" s="1"/>
  <c r="S4" i="26"/>
  <c r="I6" i="21" s="1"/>
  <c r="I7" i="21" s="1"/>
  <c r="T7" i="26"/>
  <c r="T4" i="26" s="1"/>
  <c r="I11" i="21" s="1"/>
  <c r="I12" i="21" s="1"/>
  <c r="C8" i="16"/>
  <c r="R7" i="26" l="1"/>
  <c r="R4" i="26" s="1"/>
  <c r="H11" i="21" s="1"/>
  <c r="H12" i="21" s="1"/>
  <c r="H6" i="21"/>
  <c r="H7" i="21" s="1"/>
  <c r="D11" i="30"/>
  <c r="O7" i="26"/>
  <c r="O4" i="26" s="1"/>
  <c r="G11" i="21" s="1"/>
  <c r="B40" i="17"/>
  <c r="B39" i="17"/>
  <c r="E9" i="17"/>
  <c r="F9" i="17" s="1"/>
  <c r="C15" i="17" s="1"/>
  <c r="E11" i="30" l="1"/>
  <c r="E39" i="17"/>
  <c r="E44" i="17" s="1"/>
  <c r="F4" i="17" s="1"/>
  <c r="G5" i="21" s="1"/>
  <c r="G7" i="21" s="1"/>
  <c r="F39" i="17"/>
  <c r="F44" i="17" s="1"/>
  <c r="G4" i="17" s="1"/>
  <c r="G10" i="21" s="1"/>
  <c r="G12" i="21" s="1"/>
  <c r="E40" i="17"/>
  <c r="E45" i="17" s="1"/>
  <c r="F3" i="17" s="1"/>
  <c r="F5" i="21" s="1"/>
  <c r="F7" i="21" s="1"/>
  <c r="F40" i="17"/>
  <c r="F45" i="17" s="1"/>
  <c r="G3" i="17" s="1"/>
  <c r="F10" i="21" s="1"/>
  <c r="F12" i="21" s="1"/>
  <c r="C40" i="17"/>
  <c r="C45" i="17" s="1"/>
  <c r="D3" i="17" s="1"/>
  <c r="C39" i="17"/>
  <c r="C44" i="17" s="1"/>
  <c r="D4" i="17" s="1"/>
  <c r="C5" i="21" s="1"/>
  <c r="D40" i="17"/>
  <c r="D45" i="17" s="1"/>
  <c r="E3" i="17" s="1"/>
  <c r="D39" i="17"/>
  <c r="D44" i="17" s="1"/>
  <c r="E4" i="17" s="1"/>
  <c r="C10" i="21" s="1"/>
  <c r="B10" i="21" l="1"/>
  <c r="B12" i="21" s="1"/>
  <c r="B5" i="21"/>
  <c r="B7" i="21" s="1"/>
  <c r="C7" i="21"/>
  <c r="C12" i="21"/>
  <c r="D7" i="16"/>
  <c r="D4" i="16" l="1"/>
  <c r="D6" i="16"/>
  <c r="D3" i="16"/>
  <c r="D5" i="16"/>
  <c r="J6" i="26" l="1"/>
  <c r="C35" i="26"/>
  <c r="H35" i="26" s="1"/>
  <c r="D8" i="16"/>
  <c r="L3" i="26" l="1"/>
  <c r="J3" i="26"/>
  <c r="K3" i="26"/>
</calcChain>
</file>

<file path=xl/comments1.xml><?xml version="1.0" encoding="utf-8"?>
<comments xmlns="http://schemas.openxmlformats.org/spreadsheetml/2006/main">
  <authors>
    <author>Author</author>
  </authors>
  <commentList>
    <comment ref="C12" authorId="0" shapeId="0">
      <text>
        <r>
          <rPr>
            <b/>
            <sz val="9"/>
            <color indexed="81"/>
            <rFont val="Tahoma"/>
            <family val="2"/>
          </rPr>
          <t>Author:</t>
        </r>
        <r>
          <rPr>
            <sz val="9"/>
            <color indexed="81"/>
            <rFont val="Tahoma"/>
            <family val="2"/>
          </rPr>
          <t xml:space="preserve">
2014 Electric Line Clearance regulations RIS (ESV)</t>
        </r>
      </text>
    </comment>
  </commentList>
</comments>
</file>

<file path=xl/comments2.xml><?xml version="1.0" encoding="utf-8"?>
<comments xmlns="http://schemas.openxmlformats.org/spreadsheetml/2006/main">
  <authors>
    <author>Author</author>
  </authors>
  <commentList>
    <comment ref="M23"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38" authorId="0" shapeId="0">
      <text>
        <r>
          <rPr>
            <b/>
            <sz val="9"/>
            <color indexed="81"/>
            <rFont val="Tahoma"/>
            <family val="2"/>
          </rPr>
          <t>Author:</t>
        </r>
        <r>
          <rPr>
            <sz val="9"/>
            <color indexed="81"/>
            <rFont val="Tahoma"/>
            <family val="2"/>
          </rPr>
          <t xml:space="preserve">
Table L.66 in the AER's original final decision includes a value of $60297.4 for an Electricity safety regulations step chnage.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M39"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55" authorId="0" shapeId="0">
      <text>
        <r>
          <rPr>
            <b/>
            <sz val="9"/>
            <color indexed="81"/>
            <rFont val="Tahoma"/>
            <family val="2"/>
          </rPr>
          <t>Author:</t>
        </r>
        <r>
          <rPr>
            <sz val="9"/>
            <color indexed="81"/>
            <rFont val="Tahoma"/>
            <family val="2"/>
          </rPr>
          <t xml:space="preserve">
The 'Electricity safety regulations' step change for United Energy as shown in Table L.66 of our October 2010 includes cost escalation. The value we relied upon in this OEF spreadsheet (Row 16 of 'Bushfire obligations') is exclusive of cost escalation. This is inconsistent with our approach to AusNet's step change that applies the cost escalated version (see above row 22).</t>
        </r>
      </text>
    </comment>
  </commentList>
</comments>
</file>

<file path=xl/sharedStrings.xml><?xml version="1.0" encoding="utf-8"?>
<sst xmlns="http://schemas.openxmlformats.org/spreadsheetml/2006/main" count="551" uniqueCount="212">
  <si>
    <t>Total</t>
  </si>
  <si>
    <t>CIT</t>
  </si>
  <si>
    <t>PCR</t>
  </si>
  <si>
    <t>UED</t>
  </si>
  <si>
    <t>Energex</t>
  </si>
  <si>
    <t>Ergon</t>
  </si>
  <si>
    <t>Ergon Energy</t>
  </si>
  <si>
    <t>Source:</t>
  </si>
  <si>
    <t>weight</t>
  </si>
  <si>
    <t>EBT RIN</t>
  </si>
  <si>
    <t>SAPN</t>
  </si>
  <si>
    <t>% of network councils responsible for (length)</t>
  </si>
  <si>
    <t>% costs councils responsible for</t>
  </si>
  <si>
    <t>% veg management undertaken by councils approximation</t>
  </si>
  <si>
    <t>% of network services opex that is vegetation management</t>
  </si>
  <si>
    <t>Adjustment</t>
  </si>
  <si>
    <t>2008/09</t>
  </si>
  <si>
    <t>2009/10</t>
  </si>
  <si>
    <t>2010/11</t>
  </si>
  <si>
    <t>2011/12</t>
  </si>
  <si>
    <t>2012/13</t>
  </si>
  <si>
    <t>$000 nominal</t>
  </si>
  <si>
    <t>2013/14</t>
  </si>
  <si>
    <t>OEF adjustment for division of responsibility for vegetation management</t>
  </si>
  <si>
    <t>AusNet Services' Network</t>
  </si>
  <si>
    <t>Network services opex</t>
  </si>
  <si>
    <t>unit</t>
  </si>
  <si>
    <t>dollars</t>
  </si>
  <si>
    <t>CitiPower</t>
  </si>
  <si>
    <t>000s</t>
  </si>
  <si>
    <t>$2010 Dec</t>
  </si>
  <si>
    <t>Powercor</t>
  </si>
  <si>
    <t>AusNet</t>
  </si>
  <si>
    <t>% of Opex related to new bushfire obligations</t>
  </si>
  <si>
    <t>OEF for bushfire risk</t>
  </si>
  <si>
    <t>Regulatory Determination forecasts for standard control services 2011-15</t>
  </si>
  <si>
    <t>New bushfire related regulatory obligations forecast 2011-15</t>
  </si>
  <si>
    <t>kms Council Responsibility</t>
  </si>
  <si>
    <t>kms MEC</t>
  </si>
  <si>
    <t>km total</t>
  </si>
  <si>
    <t>Percentage  Council responsibility</t>
  </si>
  <si>
    <t>Vegetation management opex</t>
  </si>
  <si>
    <t>Category analysis RIN responses</t>
  </si>
  <si>
    <t>Economic Benchmarking RIN responses</t>
  </si>
  <si>
    <t>% of network services opex incurred due to difference in coucil obligations</t>
  </si>
  <si>
    <t>AusNet services response to AER information request on division of responsibility for vegetation management. 16 February 2015</t>
  </si>
  <si>
    <t>AER, CitiPower Pty Distribution determination 2011-15, September 2012; AER, Final decision - appendices: Victorian electricity distribution network service providers -  Distribution determination 2011-2015, October 2011.</t>
  </si>
  <si>
    <t>AER, Final decision: Powercor cost pass through application of 13 December 2011 for costs arising from the Victorian Bushfire Royal Commission, May 2011; AER, Powercor Australia Ltd Distribution determination 2011-15, October 2012; AER, Final decision - appendices: Victorian electricity distribution network service providers -  Distribution determination 2011-2015, October 2011.</t>
  </si>
  <si>
    <t>AER, Final decision - appendices: Victorian electricity distribution network service providers -  Distribution determination 2011-2015, October 2011</t>
  </si>
  <si>
    <t>AER, Final Decision: SP AusNet cost pass through application of 31 July 2012 for costs arising from the Victorian Bushfire Royal Commission, 19 October 2012; AER, Final decision - appendices: Victorian electricity distribution network service providers -  Distribution determination 2011-2015, October 2011.</t>
  </si>
  <si>
    <t>2006-13</t>
  </si>
  <si>
    <t>2006-17</t>
  </si>
  <si>
    <t>2012-17</t>
  </si>
  <si>
    <t>AND</t>
  </si>
  <si>
    <t>* SFA CD only</t>
  </si>
  <si>
    <t>Weighted</t>
  </si>
  <si>
    <t>4 Models</t>
  </si>
  <si>
    <t>3 Models</t>
  </si>
  <si>
    <t>1 Model</t>
  </si>
  <si>
    <t>Cost disadvantage faced by comparison firms over the benchmarking period (2019 firms)</t>
  </si>
  <si>
    <t>Cost disadvantage faced by comparison firms over the benchmarking period (2015 firms)</t>
  </si>
  <si>
    <t>2014/15</t>
  </si>
  <si>
    <t>2015/16</t>
  </si>
  <si>
    <t>2016/17</t>
  </si>
  <si>
    <t>2017/18</t>
  </si>
  <si>
    <t>Division of responsibility</t>
  </si>
  <si>
    <t>Bushfire risk</t>
  </si>
  <si>
    <t>2006-13 comparators</t>
  </si>
  <si>
    <t>Customer weights</t>
  </si>
  <si>
    <t>2006-13 comparator firms</t>
  </si>
  <si>
    <t>Weights</t>
  </si>
  <si>
    <t>Forecast cost disadvantage for comparison firms over 2011  to 2015 (2015 firms)</t>
  </si>
  <si>
    <t>Forecast cost disadvantage for comparison firms over 2011 to 2015 (2019 firms)</t>
  </si>
  <si>
    <t>Start period - benchmarking</t>
  </si>
  <si>
    <t>End period - benchmarking</t>
  </si>
  <si>
    <t>Start period affected by bushfire obligations</t>
  </si>
  <si>
    <t>Updated comparator firms</t>
  </si>
  <si>
    <t>United Energy</t>
  </si>
  <si>
    <t>CPI (Dec)</t>
  </si>
  <si>
    <t>Calander year data (Real June same year)</t>
  </si>
  <si>
    <t>Financial year data (Real December previous year)</t>
  </si>
  <si>
    <t>2005/06</t>
  </si>
  <si>
    <t>2006/07</t>
  </si>
  <si>
    <t>2007/08</t>
  </si>
  <si>
    <t>2018/19</t>
  </si>
  <si>
    <t>Multiplication factor to convert $1 in the financial year to June 2015 $</t>
  </si>
  <si>
    <t>Multiplication factor to convert $1 in the calendar year to June 2015 $</t>
  </si>
  <si>
    <t>ABS A2325846C</t>
  </si>
  <si>
    <t>Index Numbers ;  All groups CPI ;  Australia ;</t>
  </si>
  <si>
    <t>Index Numbers</t>
  </si>
  <si>
    <t>Original</t>
  </si>
  <si>
    <t>INDEX</t>
  </si>
  <si>
    <t>Quarter</t>
  </si>
  <si>
    <t>A2325846C</t>
  </si>
  <si>
    <t>$000 Jun 2015</t>
  </si>
  <si>
    <t>2012-2018</t>
  </si>
  <si>
    <t xml:space="preserve">Source: AER - Final Decision Ergon Energy - OEF calculations summary updated_working_Long period_DRAFT.xlsx, 'CPI-master' worksheet.  </t>
  </si>
  <si>
    <t>2006-2018</t>
  </si>
  <si>
    <t>Source: AER, Victorian Electricity Distribution Network Service Providers, Distribution Decision 2011-2015, Final Decision - Appendices, October 2010, p. 301.  Available at: https://www.aer.gov.au/system/files/Victorian%20distribution%20final%20decision%202011-2015%20-%20appendices%20%2829%20October%202010%29_1.pdf.</t>
  </si>
  <si>
    <t>Source: AER, Final Decision -- Powercor Cost Pass Through Application of 13 December 2011 for Cost arising from the Victorian Bushfire Royal Commission, 7 March 2012, p. 94.  Available at: https://webarchive.nla.gov.au/wayback/20150625200431/http:/www.aer.gov.au/sites/default/files/AER%20final%20decision%207%20March%202012%20-%20Powercor%20VBRC%20passthrough%20application.pdf</t>
  </si>
  <si>
    <t>2006-18</t>
  </si>
  <si>
    <t>2012-18</t>
  </si>
  <si>
    <t>Step change</t>
  </si>
  <si>
    <t>Source</t>
  </si>
  <si>
    <t>Pages</t>
  </si>
  <si>
    <t>Electricity Safety (Electric Line Clearance) Regulations - Tribunal varied</t>
  </si>
  <si>
    <t>AER 2011-15 vegetation management step change final decision (as varied by Tribunal)</t>
  </si>
  <si>
    <t>p. 2</t>
  </si>
  <si>
    <t>Total opex forecast</t>
  </si>
  <si>
    <t>Nominal forecast</t>
  </si>
  <si>
    <t>AER CitiPower 2011-15 revenue determination (as varied by Tribunal)</t>
  </si>
  <si>
    <t>p. 17</t>
  </si>
  <si>
    <t>Real forecast ('000s, $2010 Dec)</t>
  </si>
  <si>
    <t>AusNet Services</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</si>
  <si>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</si>
  <si>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</si>
  <si>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</si>
  <si>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</si>
  <si>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</si>
  <si>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</si>
  <si>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</si>
  <si>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</si>
  <si>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</si>
  <si>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</si>
  <si>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</si>
  <si>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</si>
  <si>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Victorian Bushfire Royal Commission opex pass through</t>
  </si>
  <si>
    <t>AER Final Decision on AusNet Services VBRC cost pass through application</t>
  </si>
  <si>
    <t>p. 3</t>
  </si>
  <si>
    <t>AER AusNet Services 2011-15 revenue determination (as varied by Tribunal)</t>
  </si>
  <si>
    <t>p. 20</t>
  </si>
  <si>
    <t>Real forecast, updated for VBRC pass through</t>
  </si>
  <si>
    <t>'At risk township' protection plans</t>
  </si>
  <si>
    <t>p. 446</t>
  </si>
  <si>
    <t>"Electricity safety regulations" step change</t>
  </si>
  <si>
    <t>Victorian Bushfire Royal Commission pass through</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</si>
  <si>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</si>
  <si>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</si>
  <si>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</si>
  <si>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</si>
  <si>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</si>
  <si>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</si>
  <si>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</si>
  <si>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</si>
  <si>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CPI analysis used in October 2010 decisions</t>
  </si>
  <si>
    <t>Conversion factor to change nominal value of $1 in a calendar year to $2010 Dec value</t>
  </si>
  <si>
    <t>Table 1.6: Pass through totals ($nominal)</t>
  </si>
  <si>
    <t>ESV VBRC Letter</t>
  </si>
  <si>
    <t>Operating expenditure</t>
  </si>
  <si>
    <t>Capital expenditure</t>
  </si>
  <si>
    <t>Revised ESMS Acceptance</t>
  </si>
  <si>
    <t>Transition Program Imposition</t>
  </si>
  <si>
    <t>Update for final decision</t>
  </si>
  <si>
    <t>Number of years in benchmarking period (minus one)</t>
  </si>
  <si>
    <t>Number of years affected by increasing bushfire obligations within the benchmarking period (minus one)</t>
  </si>
  <si>
    <t>Vegetation management OEF</t>
  </si>
  <si>
    <t>2006-18 comparators</t>
  </si>
  <si>
    <t>2012-18 comparators</t>
  </si>
  <si>
    <t>Update for final decision - May 2020</t>
  </si>
  <si>
    <t>Draft decision - October 2019</t>
  </si>
  <si>
    <t>Jemena</t>
  </si>
  <si>
    <t>Real forecast ('000,000s, $2010 Dec)</t>
  </si>
  <si>
    <t>ESV levy step change (not included)</t>
  </si>
  <si>
    <r>
      <t xml:space="preserve">p. </t>
    </r>
    <r>
      <rPr>
        <sz val="11"/>
        <color rgb="FFFF0000"/>
        <rFont val="Calibri"/>
        <family val="2"/>
        <scheme val="minor"/>
      </rPr>
      <t>276</t>
    </r>
  </si>
  <si>
    <t>p. 276</t>
  </si>
  <si>
    <t>AER Jemena 2011-15 revenue determination (as varied by Tribunal)</t>
  </si>
  <si>
    <t>JEN</t>
  </si>
  <si>
    <t xml:space="preserve">Ergon Energy and Energex </t>
  </si>
  <si>
    <t>Draft decision - September 2020</t>
  </si>
  <si>
    <t>AusNet Services and Jemena</t>
  </si>
  <si>
    <t>Ergon and Energex - Update for final decision</t>
  </si>
  <si>
    <t>$2018 Jun</t>
  </si>
  <si>
    <t>Incremental vegetation management cost for VIC DNSPs post-2011</t>
  </si>
  <si>
    <t>Average 2009-10</t>
  </si>
  <si>
    <t>Network services opex for VIC DNSPs</t>
  </si>
  <si>
    <t>Ratio of veg man cost over total opex</t>
  </si>
  <si>
    <t>JEN's vegetation management cost</t>
  </si>
  <si>
    <t>vegetation management cost</t>
  </si>
  <si>
    <t>network services opex</t>
  </si>
  <si>
    <t>Allowance</t>
  </si>
  <si>
    <t>Actual</t>
  </si>
  <si>
    <t>Increments based on AER allowance</t>
  </si>
  <si>
    <t>Average 2011-19</t>
  </si>
  <si>
    <t>Increments from 2009-10 to 2011-19</t>
  </si>
  <si>
    <t>2006-2019</t>
  </si>
  <si>
    <t>2012-2019</t>
  </si>
  <si>
    <t>Customer numbers in 2019</t>
  </si>
  <si>
    <t>Key:</t>
  </si>
  <si>
    <t>Input (hard code)</t>
  </si>
  <si>
    <t>External Link</t>
  </si>
  <si>
    <t>Internal Link</t>
  </si>
  <si>
    <t>Drop down Selection</t>
  </si>
  <si>
    <t>Calculation</t>
  </si>
  <si>
    <t>Unique calculation</t>
  </si>
  <si>
    <t>Empty cell</t>
  </si>
  <si>
    <t>Copyright Jemena Limited. All rights reserved. Jemena is not liable for any loss caused by reliance on this document.</t>
  </si>
  <si>
    <t>JEN - OEF for vegetation management regulatory obligations</t>
  </si>
  <si>
    <t>Output | Vegetation management OEF</t>
  </si>
  <si>
    <t>AER Partial Performance Indicators (DNSP) (2019) - PUBLIC.xlsx</t>
  </si>
  <si>
    <t>End</t>
  </si>
  <si>
    <t>Source 2: AER Partial Performance Indicators (DNSP) (2019) - PUBLIC.xlsx</t>
  </si>
  <si>
    <t>Source 1: AER - Draft decision - Jemena distribution determination - 2021–26 - OEF veg management - September 2020.xlsx</t>
  </si>
  <si>
    <t>Calc | Vegetation management OEF</t>
  </si>
  <si>
    <t>Output|Bushfire obligation OEF</t>
  </si>
  <si>
    <t>2006-19</t>
  </si>
  <si>
    <t>2012-19</t>
  </si>
  <si>
    <t>Vegetation management OEF adjustment</t>
  </si>
  <si>
    <t>AER draft decision - based on historical allowance</t>
  </si>
  <si>
    <t>JEN revised proposal - based on actual RIN data</t>
  </si>
  <si>
    <t>Calc|BushfireObligation(Actual)</t>
  </si>
  <si>
    <t>Customer numbers in 2017</t>
  </si>
  <si>
    <t>Actual cost disadvantage for comparison firms over 2011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</si>
</sst>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0.0%"/>
    <numFmt numFmtId="170" formatCode="0.000000000000000%"/>
    <numFmt numFmtId="171" formatCode="_-&quot;$&quot;* #,##0_-;\-&quot;$&quot;* #,##0_-;_-&quot;$&quot;* &quot;-&quot;??_-;_-@_-"/>
    <numFmt numFmtId="172" formatCode="_-* #,##0_-;\-* #,##0_-;_-* &quot;-&quot;??_-;_-@_-"/>
    <numFmt numFmtId="173" formatCode="_-* #,##0.0_-;\-* #,##0.0_-;_-* &quot;-&quot;??_-;_-@_-"/>
    <numFmt numFmtId="174" formatCode="0.000"/>
    <numFmt numFmtId="175" formatCode="[$-C09]mmm\-yyyy;@"/>
    <numFmt numFmtId="176" formatCode="mmm\-yyyy"/>
    <numFmt numFmtId="177" formatCode="_-* #,##0.0000_-;\-* #,##0.0000_-;_-* &quot;-&quot;??_-;_-@_-"/>
    <numFmt numFmtId="178" formatCode="0.0"/>
    <numFmt numFmtId="179" formatCode="#,##0.000"/>
    <numFmt numFmtId="180" formatCode="_([$€-2]* #,##0.00_);_([$€-2]* \(#,##0.00\);_([$€-2]* &quot;-&quot;??_)"/>
    <numFmt numFmtId="181" formatCode="#,##0.000_ ;[Red]\-#,##0.000\ "/>
    <numFmt numFmtId="182" formatCode="_(* #,##0.0_);_(* \(#,##0.0\);_(* &quot;-&quot;?_);_(@_)"/>
    <numFmt numFmtId="183" formatCode="_-* #,##0.00_-;[Red]\(#,##0.00\)_-;_-* &quot;-&quot;??_-;_-@_-"/>
    <numFmt numFmtId="184" formatCode="mm/dd/yy"/>
    <numFmt numFmtId="185" formatCode="0_);[Red]\(0\)"/>
    <numFmt numFmtId="186" formatCode="_(* #,##0_);_(* \(#,##0\);_(* &quot;-&quot;?_);_(@_)"/>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s>
  <fonts count="88">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0" tint="-0.499984740745262"/>
      <name val="Calibri"/>
      <family val="2"/>
      <scheme val="minor"/>
    </font>
    <font>
      <b/>
      <sz val="11"/>
      <color theme="0" tint="-0.499984740745262"/>
      <name val="Calibri"/>
      <family val="2"/>
      <scheme val="minor"/>
    </font>
    <font>
      <sz val="11"/>
      <name val="Calibri"/>
      <family val="2"/>
    </font>
    <font>
      <b/>
      <sz val="11"/>
      <color indexed="8"/>
      <name val="Calibri"/>
      <family val="2"/>
    </font>
    <font>
      <i/>
      <sz val="11"/>
      <color theme="1"/>
      <name val="Calibri"/>
      <family val="2"/>
      <scheme val="minor"/>
    </font>
    <font>
      <b/>
      <sz val="1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8"/>
      <color indexed="8"/>
      <name val="Arial"/>
      <family val="2"/>
    </font>
    <font>
      <u/>
      <sz val="11"/>
      <color theme="10"/>
      <name val="Calibri"/>
      <family val="2"/>
      <scheme val="minor"/>
    </font>
    <font>
      <sz val="11"/>
      <color rgb="FFFF000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
      <sz val="8"/>
      <color indexed="9"/>
      <name val="Arial"/>
      <family val="2"/>
    </font>
    <font>
      <b/>
      <sz val="12"/>
      <color indexed="9"/>
      <name val="Arial"/>
      <family val="2"/>
    </font>
    <font>
      <i/>
      <sz val="10"/>
      <color indexed="9"/>
      <name val="Arial"/>
      <family val="2"/>
    </font>
    <font>
      <b/>
      <sz val="10"/>
      <color indexed="9"/>
      <name val="Arial"/>
      <family val="2"/>
    </font>
    <font>
      <i/>
      <sz val="11"/>
      <name val="Calibri"/>
      <family val="2"/>
    </font>
    <font>
      <b/>
      <sz val="10"/>
      <color theme="0"/>
      <name val="Arial"/>
      <family val="2"/>
    </font>
    <font>
      <sz val="10"/>
      <color theme="1"/>
      <name val="Arial"/>
      <family val="2"/>
    </font>
    <font>
      <b/>
      <sz val="10"/>
      <color theme="1"/>
      <name val="Arial"/>
      <family val="2"/>
    </font>
  </fonts>
  <fills count="6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0" tint="-0.14996795556505021"/>
        <bgColor indexed="64"/>
      </patternFill>
    </fill>
    <fill>
      <patternFill patternType="solid">
        <fgColor indexed="43"/>
        <bgColor indexed="64"/>
      </patternFill>
    </fill>
    <fill>
      <patternFill patternType="solid">
        <fgColor theme="9" tint="0.59999389629810485"/>
        <bgColor indexed="64"/>
      </patternFill>
    </fill>
    <fill>
      <patternFill patternType="solid">
        <fgColor theme="0"/>
        <bgColor indexed="64"/>
      </patternFill>
    </fill>
    <fill>
      <patternFill patternType="lightUp">
        <bgColor theme="0" tint="-0.14996795556505021"/>
      </patternFill>
    </fill>
    <fill>
      <patternFill patternType="solid">
        <fgColor rgb="FF7DCCE0"/>
        <bgColor indexed="64"/>
      </patternFill>
    </fill>
    <fill>
      <patternFill patternType="solid">
        <fgColor rgb="FFCCFFCC"/>
        <bgColor indexed="64"/>
      </patternFill>
    </fill>
    <fill>
      <patternFill patternType="lightUp"/>
    </fill>
    <fill>
      <patternFill patternType="solid">
        <fgColor rgb="FFC5E9F1"/>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medium">
        <color indexed="9"/>
      </bottom>
      <diagonal/>
    </border>
    <border>
      <left/>
      <right/>
      <top/>
      <bottom style="medium">
        <color theme="0"/>
      </bottom>
      <diagonal/>
    </border>
    <border>
      <left style="thin">
        <color rgb="FF00B0F0"/>
      </left>
      <right style="thin">
        <color rgb="FF00B0F0"/>
      </right>
      <top style="thin">
        <color rgb="FF00B0F0"/>
      </top>
      <bottom style="thin">
        <color rgb="FF00B0F0"/>
      </bottom>
      <diagonal/>
    </border>
  </borders>
  <cellStyleXfs count="924">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13" fillId="0" borderId="12" applyNumberFormat="0" applyFill="0" applyAlignment="0" applyProtection="0"/>
    <xf numFmtId="0" fontId="14" fillId="4" borderId="13" applyNumberFormat="0" applyAlignment="0" applyProtection="0"/>
    <xf numFmtId="0" fontId="15" fillId="5" borderId="13" applyNumberFormat="0" applyAlignment="0" applyProtection="0"/>
    <xf numFmtId="167" fontId="1" fillId="0" borderId="0" applyFont="0" applyFill="0" applyBorder="0" applyAlignment="0" applyProtection="0"/>
    <xf numFmtId="0" fontId="17" fillId="0" borderId="0" applyNumberFormat="0" applyFill="0" applyBorder="0" applyAlignment="0" applyProtection="0"/>
    <xf numFmtId="167" fontId="1" fillId="0" borderId="0" applyFont="0" applyFill="0" applyBorder="0" applyAlignment="0" applyProtection="0"/>
    <xf numFmtId="0" fontId="5" fillId="0" borderId="0"/>
    <xf numFmtId="180" fontId="5" fillId="0" borderId="0"/>
    <xf numFmtId="180" fontId="5" fillId="0" borderId="0"/>
    <xf numFmtId="0" fontId="24"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5" fillId="0" borderId="0"/>
    <xf numFmtId="0" fontId="5" fillId="0" borderId="0" applyFill="0"/>
    <xf numFmtId="0" fontId="5" fillId="0" borderId="0"/>
    <xf numFmtId="182" fontId="5" fillId="18" borderId="0" applyFont="0" applyBorder="0">
      <alignment horizontal="right"/>
    </xf>
    <xf numFmtId="0" fontId="5" fillId="0" borderId="0"/>
    <xf numFmtId="165" fontId="5" fillId="19" borderId="0" applyFont="0" applyBorder="0" applyAlignment="0">
      <alignment horizontal="right"/>
      <protection locked="0"/>
    </xf>
    <xf numFmtId="0" fontId="5" fillId="0" borderId="0"/>
    <xf numFmtId="0" fontId="1" fillId="0" borderId="0"/>
    <xf numFmtId="180" fontId="5" fillId="0" borderId="0"/>
    <xf numFmtId="0" fontId="1" fillId="0" borderId="0"/>
    <xf numFmtId="0" fontId="5" fillId="0" borderId="0"/>
    <xf numFmtId="0" fontId="5" fillId="11" borderId="0"/>
    <xf numFmtId="0" fontId="5" fillId="0" borderId="0"/>
    <xf numFmtId="0" fontId="1" fillId="0" borderId="0"/>
    <xf numFmtId="0" fontId="5" fillId="0" borderId="0"/>
    <xf numFmtId="0" fontId="5" fillId="0" borderId="0"/>
    <xf numFmtId="0" fontId="5" fillId="0" borderId="0"/>
    <xf numFmtId="183" fontId="29" fillId="0" borderId="0"/>
    <xf numFmtId="183" fontId="29" fillId="0" borderId="0"/>
    <xf numFmtId="0" fontId="20" fillId="20" borderId="0" applyNumberFormat="0" applyBorder="0" applyAlignment="0" applyProtection="0"/>
    <xf numFmtId="0" fontId="1" fillId="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0" borderId="0" applyNumberFormat="0" applyBorder="0" applyAlignment="0" applyProtection="0"/>
    <xf numFmtId="0" fontId="1" fillId="9"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20" fillId="36" borderId="0" applyNumberFormat="0" applyBorder="0" applyAlignment="0" applyProtection="0"/>
    <xf numFmtId="0" fontId="2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0" fillId="29" borderId="0" applyNumberFormat="0" applyBorder="0" applyAlignment="0" applyProtection="0"/>
    <xf numFmtId="0" fontId="20" fillId="37"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1" fillId="0" borderId="0"/>
    <xf numFmtId="164" fontId="32" fillId="0" borderId="0" applyFont="0" applyFill="0" applyBorder="0" applyAlignment="0" applyProtection="0"/>
    <xf numFmtId="0" fontId="33" fillId="39" borderId="0" applyNumberFormat="0" applyBorder="0" applyAlignment="0" applyProtection="0"/>
    <xf numFmtId="0" fontId="34" fillId="0" borderId="0" applyNumberFormat="0" applyFill="0" applyBorder="0" applyAlignment="0"/>
    <xf numFmtId="165" fontId="5" fillId="10" borderId="0" applyNumberFormat="0" applyFont="0" applyBorder="0" applyAlignment="0">
      <alignment horizontal="right"/>
    </xf>
    <xf numFmtId="165" fontId="5" fillId="10" borderId="0" applyNumberFormat="0" applyFont="0" applyBorder="0" applyAlignment="0">
      <alignment horizontal="right"/>
    </xf>
    <xf numFmtId="165" fontId="5" fillId="10" borderId="0" applyNumberFormat="0" applyFont="0" applyBorder="0" applyAlignment="0">
      <alignment horizontal="right"/>
    </xf>
    <xf numFmtId="0" fontId="35" fillId="0" borderId="0" applyNumberFormat="0" applyFill="0" applyBorder="0" applyAlignment="0">
      <protection locked="0"/>
    </xf>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7" fillId="40" borderId="23" applyNumberFormat="0" applyAlignment="0" applyProtection="0"/>
    <xf numFmtId="0" fontId="37" fillId="40" borderId="23" applyNumberFormat="0" applyAlignment="0" applyProtection="0"/>
    <xf numFmtId="165" fontId="5" fillId="0" borderId="0" applyFont="0" applyFill="0" applyBorder="0" applyAlignment="0" applyProtection="0"/>
    <xf numFmtId="0" fontId="3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20"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40"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49" fontId="12" fillId="16" borderId="19">
      <alignment horizontal="center" vertical="center" wrapText="1"/>
    </xf>
    <xf numFmtId="0" fontId="10" fillId="41"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180" fontId="20" fillId="0" borderId="0" applyFont="0" applyFill="0" applyBorder="0" applyAlignment="0" applyProtection="0"/>
    <xf numFmtId="0" fontId="41" fillId="0" borderId="0" applyNumberForma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0" fontId="42" fillId="0" borderId="0"/>
    <xf numFmtId="0" fontId="43" fillId="0" borderId="0"/>
    <xf numFmtId="0" fontId="44" fillId="44" borderId="0" applyNumberFormat="0" applyBorder="0" applyAlignment="0" applyProtection="0"/>
    <xf numFmtId="0" fontId="19" fillId="0" borderId="0" applyFill="0" applyBorder="0">
      <alignment vertical="center"/>
    </xf>
    <xf numFmtId="0" fontId="45" fillId="0" borderId="24" applyNumberFormat="0" applyFill="0" applyAlignment="0" applyProtection="0"/>
    <xf numFmtId="0" fontId="19" fillId="0" borderId="0" applyFill="0" applyBorder="0">
      <alignment vertical="center"/>
    </xf>
    <xf numFmtId="0" fontId="46" fillId="0" borderId="0" applyFill="0" applyBorder="0">
      <alignment vertical="center"/>
    </xf>
    <xf numFmtId="0" fontId="47" fillId="0" borderId="25" applyNumberFormat="0" applyFill="0" applyAlignment="0" applyProtection="0"/>
    <xf numFmtId="0" fontId="46" fillId="0" borderId="0" applyFill="0" applyBorder="0">
      <alignment vertical="center"/>
    </xf>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0" applyFill="0" applyBorder="0">
      <alignment vertical="center"/>
    </xf>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0" applyFill="0" applyBorder="0">
      <alignment vertical="center"/>
    </xf>
    <xf numFmtId="0" fontId="29" fillId="0" borderId="0" applyFill="0" applyBorder="0">
      <alignment vertical="center"/>
    </xf>
    <xf numFmtId="0" fontId="48" fillId="0" borderId="0" applyNumberFormat="0" applyFill="0" applyBorder="0" applyAlignment="0" applyProtection="0"/>
    <xf numFmtId="0" fontId="29" fillId="0" borderId="0" applyFill="0" applyBorder="0">
      <alignment vertical="center"/>
    </xf>
    <xf numFmtId="169" fontId="50"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7" fillId="0" borderId="0" applyNumberFormat="0" applyFill="0" applyBorder="0" applyAlignment="0" applyProtection="0"/>
    <xf numFmtId="0" fontId="52" fillId="0" borderId="0" applyNumberFormat="0" applyFill="0" applyBorder="0" applyAlignment="0" applyProtection="0">
      <alignment vertical="top"/>
      <protection locked="0"/>
    </xf>
    <xf numFmtId="0" fontId="54" fillId="0" borderId="0" applyFill="0" applyBorder="0">
      <alignment horizontal="center" vertical="center"/>
      <protection locked="0"/>
    </xf>
    <xf numFmtId="0" fontId="55" fillId="0" borderId="0" applyFill="0" applyBorder="0">
      <alignment horizontal="left" vertical="center"/>
      <protection locked="0"/>
    </xf>
    <xf numFmtId="182" fontId="5" fillId="18" borderId="0" applyFont="0" applyBorder="0">
      <alignment horizontal="right"/>
    </xf>
    <xf numFmtId="169" fontId="5" fillId="18" borderId="0" applyFont="0" applyBorder="0" applyAlignment="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45" borderId="0" applyFont="0" applyBorder="0" applyAlignment="0">
      <alignment horizontal="right"/>
      <protection locked="0"/>
    </xf>
    <xf numFmtId="10" fontId="5" fillId="45" borderId="0" applyFont="0" applyBorder="0">
      <alignment horizontal="right"/>
      <protection locked="0"/>
    </xf>
    <xf numFmtId="165" fontId="5" fillId="45" borderId="0" applyFont="0" applyBorder="0" applyAlignment="0">
      <alignment horizontal="right"/>
      <protection locked="0"/>
    </xf>
    <xf numFmtId="3" fontId="5" fillId="46" borderId="0" applyFont="0" applyBorder="0">
      <protection locked="0"/>
    </xf>
    <xf numFmtId="169" fontId="46" fillId="46" borderId="0" applyBorder="0" applyAlignment="0">
      <protection locked="0"/>
    </xf>
    <xf numFmtId="186" fontId="5" fillId="47" borderId="0" applyFont="0" applyBorder="0">
      <alignment horizontal="right"/>
      <protection locked="0"/>
    </xf>
    <xf numFmtId="186" fontId="5" fillId="47" borderId="0" applyFont="0" applyBorder="0">
      <alignment horizontal="right"/>
      <protection locked="0"/>
    </xf>
    <xf numFmtId="186" fontId="5" fillId="47"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81" fontId="1" fillId="12" borderId="21">
      <protection locked="0"/>
    </xf>
    <xf numFmtId="181" fontId="1" fillId="12" borderId="21">
      <protection locked="0"/>
    </xf>
    <xf numFmtId="181" fontId="1" fillId="12" borderId="21">
      <protection locked="0"/>
    </xf>
    <xf numFmtId="49" fontId="1" fillId="12" borderId="21" applyFont="0" applyAlignment="0">
      <alignment horizontal="left" vertical="center" wrapText="1"/>
      <protection locked="0"/>
    </xf>
    <xf numFmtId="49" fontId="1" fillId="12" borderId="21" applyFont="0" applyAlignment="0">
      <alignment horizontal="left" vertical="center" wrapText="1"/>
      <protection locked="0"/>
    </xf>
    <xf numFmtId="49" fontId="1" fillId="12" borderId="21" applyFont="0" applyAlignment="0">
      <alignment horizontal="left" vertical="center" wrapText="1"/>
      <protection locked="0"/>
    </xf>
    <xf numFmtId="169" fontId="57" fillId="48" borderId="0" applyBorder="0" applyAlignment="0"/>
    <xf numFmtId="0" fontId="29" fillId="10" borderId="0"/>
    <xf numFmtId="0" fontId="58" fillId="0" borderId="27" applyNumberFormat="0" applyFill="0" applyAlignment="0" applyProtection="0"/>
    <xf numFmtId="182" fontId="28" fillId="10" borderId="17" applyFont="0" applyBorder="0" applyAlignment="0"/>
    <xf numFmtId="169" fontId="46" fillId="10" borderId="0" applyFont="0" applyBorder="0" applyAlignment="0"/>
    <xf numFmtId="187" fontId="59" fillId="0" borderId="0"/>
    <xf numFmtId="0" fontId="22" fillId="0" borderId="0" applyFill="0" applyBorder="0">
      <alignment horizontal="left" vertical="center"/>
    </xf>
    <xf numFmtId="0" fontId="60" fillId="24" borderId="0" applyNumberFormat="0" applyBorder="0" applyAlignment="0" applyProtection="0"/>
    <xf numFmtId="181" fontId="1" fillId="17" borderId="21"/>
    <xf numFmtId="181" fontId="1" fillId="17" borderId="21"/>
    <xf numFmtId="181" fontId="1" fillId="17" borderId="21"/>
    <xf numFmtId="188" fontId="61" fillId="0" borderId="0"/>
    <xf numFmtId="0" fontId="5" fillId="0" borderId="0"/>
    <xf numFmtId="0" fontId="5" fillId="11" borderId="0"/>
    <xf numFmtId="0" fontId="5" fillId="0" borderId="0"/>
    <xf numFmtId="0" fontId="5" fillId="11"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11"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1" borderId="0"/>
    <xf numFmtId="0" fontId="5" fillId="11" borderId="0"/>
    <xf numFmtId="0" fontId="5" fillId="0" borderId="0"/>
    <xf numFmtId="0" fontId="5" fillId="11" borderId="0"/>
    <xf numFmtId="0" fontId="5" fillId="0" borderId="0"/>
    <xf numFmtId="0" fontId="39"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1" borderId="0"/>
    <xf numFmtId="0" fontId="5" fillId="11" borderId="0"/>
    <xf numFmtId="0" fontId="5" fillId="0" borderId="0"/>
    <xf numFmtId="0" fontId="5" fillId="11"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protection locked="0"/>
    </xf>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0" fillId="0" borderId="0"/>
    <xf numFmtId="0" fontId="32" fillId="0" borderId="0"/>
    <xf numFmtId="0" fontId="5" fillId="0" borderId="0"/>
    <xf numFmtId="0" fontId="5" fillId="11"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189" fontId="5" fillId="0" borderId="0" applyFill="0" applyBorder="0"/>
    <xf numFmtId="189" fontId="5" fillId="0" borderId="0" applyFill="0" applyBorder="0"/>
    <xf numFmtId="189"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63" fillId="0" borderId="0"/>
    <xf numFmtId="0" fontId="49"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90" fontId="64" fillId="0" borderId="11"/>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3" fontId="38" fillId="0" borderId="0" applyFont="0" applyFill="0" applyBorder="0" applyAlignment="0" applyProtection="0"/>
    <xf numFmtId="0" fontId="38" fillId="49" borderId="0" applyNumberFormat="0" applyFont="0" applyBorder="0" applyAlignment="0" applyProtection="0"/>
    <xf numFmtId="191" fontId="5" fillId="0" borderId="0"/>
    <xf numFmtId="191" fontId="5" fillId="0" borderId="0"/>
    <xf numFmtId="191" fontId="5" fillId="0" borderId="0"/>
    <xf numFmtId="192" fontId="29" fillId="0" borderId="0" applyFill="0" applyBorder="0">
      <alignment horizontal="right" vertical="center"/>
    </xf>
    <xf numFmtId="193" fontId="29" fillId="0" borderId="0" applyFill="0" applyBorder="0">
      <alignment horizontal="right" vertical="center"/>
    </xf>
    <xf numFmtId="194" fontId="29" fillId="0" borderId="0" applyFill="0" applyBorder="0">
      <alignment horizontal="right" vertical="center"/>
    </xf>
    <xf numFmtId="181" fontId="23" fillId="12" borderId="20">
      <alignment horizontal="right" indent="2"/>
      <protection locked="0"/>
    </xf>
    <xf numFmtId="0" fontId="5" fillId="22" borderId="0" applyNumberFormat="0" applyFont="0" applyBorder="0" applyAlignment="0" applyProtection="0"/>
    <xf numFmtId="0" fontId="5" fillId="22" borderId="0" applyNumberFormat="0" applyFont="0" applyBorder="0" applyAlignment="0" applyProtection="0"/>
    <xf numFmtId="0" fontId="5" fillId="23" borderId="0" applyNumberFormat="0" applyFont="0" applyBorder="0" applyAlignment="0" applyProtection="0"/>
    <xf numFmtId="0" fontId="5" fillId="23" borderId="0" applyNumberFormat="0" applyFont="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66" fillId="0" borderId="0" applyNumberFormat="0" applyFill="0" applyBorder="0" applyAlignment="0" applyProtection="0"/>
    <xf numFmtId="0" fontId="21" fillId="5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27" fillId="0" borderId="0"/>
    <xf numFmtId="15" fontId="5" fillId="0" borderId="0"/>
    <xf numFmtId="15" fontId="5" fillId="0" borderId="0"/>
    <xf numFmtId="15" fontId="5" fillId="0" borderId="0"/>
    <xf numFmtId="10" fontId="5" fillId="0" borderId="0"/>
    <xf numFmtId="10" fontId="5" fillId="0" borderId="0"/>
    <xf numFmtId="10" fontId="5" fillId="0" borderId="0"/>
    <xf numFmtId="0" fontId="67" fillId="15" borderId="6" applyBorder="0" applyProtection="0">
      <alignment horizontal="centerContinuous" vertical="center"/>
    </xf>
    <xf numFmtId="0" fontId="68" fillId="0" borderId="0" applyBorder="0" applyProtection="0">
      <alignment vertical="center"/>
    </xf>
    <xf numFmtId="0" fontId="69" fillId="0" borderId="0">
      <alignment horizontal="left"/>
    </xf>
    <xf numFmtId="0" fontId="69" fillId="0" borderId="8" applyFill="0" applyBorder="0" applyProtection="0">
      <alignment horizontal="left" vertical="top"/>
    </xf>
    <xf numFmtId="0" fontId="21" fillId="14" borderId="0">
      <alignment horizontal="left" vertical="center"/>
      <protection locked="0"/>
    </xf>
    <xf numFmtId="0" fontId="26" fillId="13" borderId="0">
      <alignment vertical="center"/>
      <protection locked="0"/>
    </xf>
    <xf numFmtId="49" fontId="5" fillId="0" borderId="0" applyFont="0" applyFill="0" applyBorder="0" applyAlignment="0" applyProtection="0"/>
    <xf numFmtId="0" fontId="70" fillId="0" borderId="0"/>
    <xf numFmtId="49" fontId="5" fillId="0" borderId="0" applyFont="0" applyFill="0" applyBorder="0" applyAlignment="0" applyProtection="0"/>
    <xf numFmtId="0" fontId="71" fillId="0" borderId="0"/>
    <xf numFmtId="0" fontId="71" fillId="0" borderId="0"/>
    <xf numFmtId="0" fontId="70" fillId="0" borderId="0"/>
    <xf numFmtId="187" fontId="72" fillId="0" borderId="0"/>
    <xf numFmtId="0" fontId="66" fillId="0" borderId="0" applyNumberFormat="0" applyFill="0" applyBorder="0" applyAlignment="0" applyProtection="0"/>
    <xf numFmtId="0" fontId="73" fillId="0" borderId="0" applyFill="0" applyBorder="0">
      <alignment horizontal="left" vertical="center"/>
      <protection locked="0"/>
    </xf>
    <xf numFmtId="0" fontId="70" fillId="0" borderId="0"/>
    <xf numFmtId="0" fontId="74" fillId="0" borderId="0" applyFill="0" applyBorder="0">
      <alignment horizontal="left" vertical="center"/>
      <protection locked="0"/>
    </xf>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75" fillId="0" borderId="0" applyNumberFormat="0" applyFill="0" applyBorder="0" applyAlignment="0" applyProtection="0"/>
    <xf numFmtId="195" fontId="5" fillId="0" borderId="6" applyBorder="0" applyProtection="0">
      <alignment horizontal="right"/>
    </xf>
    <xf numFmtId="195" fontId="5" fillId="0" borderId="6" applyBorder="0" applyProtection="0">
      <alignment horizontal="right"/>
    </xf>
    <xf numFmtId="195" fontId="5" fillId="0" borderId="6" applyBorder="0" applyProtection="0">
      <alignment horizontal="right"/>
    </xf>
    <xf numFmtId="0" fontId="5" fillId="0" borderId="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5" fillId="11" borderId="0"/>
    <xf numFmtId="0" fontId="5" fillId="11" borderId="0"/>
    <xf numFmtId="0" fontId="5" fillId="11"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20" fillId="23" borderId="0" applyNumberFormat="0" applyBorder="0" applyAlignment="0" applyProtection="0"/>
    <xf numFmtId="0" fontId="20" fillId="51" borderId="0" applyNumberFormat="0" applyBorder="0" applyAlignment="0" applyProtection="0"/>
    <xf numFmtId="0" fontId="20" fillId="25" borderId="0" applyNumberFormat="0" applyBorder="0" applyAlignment="0" applyProtection="0"/>
    <xf numFmtId="0" fontId="20" fillId="52"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165" fontId="5" fillId="10" borderId="0" applyNumberFormat="0" applyFont="0" applyBorder="0" applyAlignment="0">
      <alignment horizontal="right"/>
    </xf>
    <xf numFmtId="165" fontId="5" fillId="10" borderId="0" applyNumberFormat="0" applyFont="0" applyBorder="0" applyAlignment="0">
      <alignment horizontal="right"/>
    </xf>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7" fillId="40" borderId="23" applyNumberFormat="0" applyAlignment="0" applyProtection="0"/>
    <xf numFmtId="0" fontId="37" fillId="40" borderId="23" applyNumberFormat="0" applyAlignment="0" applyProtection="0"/>
    <xf numFmtId="167" fontId="5" fillId="0" borderId="0" applyFont="0" applyFill="0" applyBorder="0" applyAlignment="0" applyProtection="0"/>
    <xf numFmtId="167" fontId="76" fillId="0" borderId="0" applyFont="0" applyFill="0" applyBorder="0" applyAlignment="0" applyProtection="0"/>
    <xf numFmtId="166" fontId="1" fillId="0" borderId="0" applyFont="0" applyFill="0" applyBorder="0" applyAlignment="0" applyProtection="0"/>
    <xf numFmtId="0" fontId="47" fillId="0" borderId="31"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77" fillId="0" borderId="0" applyNumberFormat="0" applyFill="0" applyBorder="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165" fontId="5" fillId="19" borderId="0" applyFont="0" applyBorder="0" applyAlignment="0">
      <alignment horizontal="right"/>
      <protection locked="0"/>
    </xf>
    <xf numFmtId="165" fontId="5" fillId="45" borderId="0" applyFont="0" applyBorder="0" applyAlignment="0">
      <alignment horizontal="right"/>
      <protection locked="0"/>
    </xf>
    <xf numFmtId="165" fontId="5" fillId="45" borderId="0" applyFont="0" applyBorder="0" applyAlignment="0">
      <alignment horizontal="right"/>
      <protection locked="0"/>
    </xf>
    <xf numFmtId="165" fontId="5" fillId="19" borderId="0" applyFont="0" applyBorder="0" applyAlignment="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applyFill="0"/>
    <xf numFmtId="0" fontId="20" fillId="0" borderId="0"/>
    <xf numFmtId="0" fontId="5" fillId="0" borderId="0" applyFill="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9" fontId="20" fillId="0" borderId="0" applyFont="0" applyFill="0" applyBorder="0" applyAlignment="0" applyProtection="0"/>
    <xf numFmtId="9" fontId="1" fillId="0" borderId="0" applyFont="0" applyFill="0" applyBorder="0" applyAlignment="0" applyProtection="0"/>
    <xf numFmtId="190" fontId="64" fillId="0" borderId="11"/>
    <xf numFmtId="0" fontId="78" fillId="15" borderId="6" applyBorder="0" applyProtection="0">
      <alignment horizontal="centerContinuous" vertical="center"/>
    </xf>
    <xf numFmtId="0" fontId="78" fillId="15" borderId="6" applyBorder="0" applyProtection="0">
      <alignment horizontal="centerContinuous" vertical="center"/>
    </xf>
    <xf numFmtId="0" fontId="78" fillId="15" borderId="6" applyBorder="0" applyProtection="0">
      <alignment horizontal="centerContinuous" vertical="center"/>
    </xf>
    <xf numFmtId="0" fontId="78" fillId="15" borderId="6" applyBorder="0" applyProtection="0">
      <alignment horizontal="centerContinuous" vertical="center"/>
    </xf>
    <xf numFmtId="0" fontId="69" fillId="0" borderId="8" applyFill="0" applyBorder="0" applyProtection="0">
      <alignment horizontal="left" vertical="top"/>
    </xf>
    <xf numFmtId="0" fontId="79" fillId="0" borderId="0"/>
    <xf numFmtId="0" fontId="79" fillId="0" borderId="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195" fontId="5" fillId="0" borderId="6" applyBorder="0" applyProtection="0">
      <alignment horizontal="right"/>
    </xf>
    <xf numFmtId="195" fontId="5" fillId="0" borderId="6" applyBorder="0" applyProtection="0">
      <alignment horizontal="right"/>
    </xf>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cellStyleXfs>
  <cellXfs count="201">
    <xf numFmtId="0" fontId="0" fillId="0" borderId="0" xfId="0"/>
    <xf numFmtId="0" fontId="0" fillId="0" borderId="0" xfId="0" applyFill="1"/>
    <xf numFmtId="10" fontId="0" fillId="0" borderId="0" xfId="1" applyNumberFormat="1" applyFont="1"/>
    <xf numFmtId="169" fontId="0" fillId="0" borderId="0" xfId="1" applyNumberFormat="1" applyFont="1" applyFill="1"/>
    <xf numFmtId="0" fontId="0" fillId="0" borderId="1" xfId="0" applyBorder="1"/>
    <xf numFmtId="0" fontId="0" fillId="0" borderId="4" xfId="0" applyBorder="1"/>
    <xf numFmtId="0" fontId="2" fillId="0" borderId="0" xfId="0" applyFont="1"/>
    <xf numFmtId="9" fontId="0" fillId="0" borderId="0" xfId="1" applyFont="1"/>
    <xf numFmtId="10" fontId="0" fillId="0" borderId="0" xfId="0" applyNumberFormat="1"/>
    <xf numFmtId="3" fontId="0" fillId="0" borderId="0" xfId="0" applyNumberFormat="1"/>
    <xf numFmtId="9" fontId="0" fillId="0" borderId="0" xfId="0" applyNumberFormat="1"/>
    <xf numFmtId="9" fontId="0" fillId="0" borderId="0" xfId="1" applyNumberFormat="1" applyFont="1"/>
    <xf numFmtId="170" fontId="0" fillId="0" borderId="0" xfId="0" applyNumberFormat="1"/>
    <xf numFmtId="171" fontId="0" fillId="0" borderId="0" xfId="4" applyNumberFormat="1" applyFont="1"/>
    <xf numFmtId="166" fontId="0" fillId="0" borderId="0" xfId="4" applyNumberFormat="1" applyFont="1"/>
    <xf numFmtId="0" fontId="0" fillId="0" borderId="2" xfId="0" applyBorder="1"/>
    <xf numFmtId="0" fontId="0" fillId="2" borderId="0" xfId="0" applyFill="1"/>
    <xf numFmtId="9" fontId="0" fillId="0" borderId="1" xfId="1" applyFont="1" applyBorder="1"/>
    <xf numFmtId="171" fontId="0" fillId="0" borderId="1" xfId="4" applyNumberFormat="1" applyFont="1" applyBorder="1"/>
    <xf numFmtId="0" fontId="0" fillId="0" borderId="0" xfId="0" applyAlignment="1">
      <alignment vertical="top" wrapText="1"/>
    </xf>
    <xf numFmtId="1" fontId="2" fillId="0" borderId="0" xfId="0" applyNumberFormat="1" applyFont="1"/>
    <xf numFmtId="3" fontId="2" fillId="0" borderId="0" xfId="0" applyNumberFormat="1" applyFont="1"/>
    <xf numFmtId="10" fontId="2" fillId="0" borderId="0" xfId="1" applyNumberFormat="1" applyFont="1"/>
    <xf numFmtId="0" fontId="0" fillId="0" borderId="0" xfId="0" applyFill="1" applyAlignment="1">
      <alignment vertical="top" wrapText="1"/>
    </xf>
    <xf numFmtId="10" fontId="0" fillId="0" borderId="0" xfId="1" applyNumberFormat="1" applyFont="1" applyFill="1"/>
    <xf numFmtId="1" fontId="2" fillId="0" borderId="0" xfId="0" applyNumberFormat="1" applyFont="1" applyFill="1"/>
    <xf numFmtId="168" fontId="0" fillId="0" borderId="1" xfId="0" applyNumberFormat="1" applyFill="1" applyBorder="1"/>
    <xf numFmtId="3" fontId="6" fillId="0" borderId="1" xfId="0" applyNumberFormat="1" applyFont="1" applyBorder="1"/>
    <xf numFmtId="0" fontId="0" fillId="0" borderId="1" xfId="0" applyBorder="1" applyAlignment="1">
      <alignment vertical="top" wrapText="1"/>
    </xf>
    <xf numFmtId="172" fontId="0" fillId="0" borderId="1" xfId="3" applyNumberFormat="1" applyFont="1" applyBorder="1"/>
    <xf numFmtId="3" fontId="0" fillId="0" borderId="1" xfId="0" applyNumberFormat="1" applyBorder="1"/>
    <xf numFmtId="10" fontId="0" fillId="0" borderId="1" xfId="1" applyNumberFormat="1" applyFont="1" applyBorder="1"/>
    <xf numFmtId="10" fontId="0" fillId="0" borderId="1" xfId="0" applyNumberFormat="1" applyBorder="1"/>
    <xf numFmtId="169" fontId="0" fillId="0" borderId="0" xfId="0" applyNumberFormat="1" applyFill="1" applyAlignment="1">
      <alignment horizontal="center"/>
    </xf>
    <xf numFmtId="0" fontId="0" fillId="0" borderId="0" xfId="0" applyAlignment="1">
      <alignment horizontal="center"/>
    </xf>
    <xf numFmtId="169" fontId="0" fillId="0" borderId="0" xfId="0" applyNumberFormat="1" applyAlignment="1">
      <alignment horizontal="center"/>
    </xf>
    <xf numFmtId="0" fontId="0" fillId="0" borderId="0" xfId="0" applyFill="1" applyBorder="1"/>
    <xf numFmtId="0" fontId="2" fillId="0" borderId="1" xfId="0" applyFont="1" applyBorder="1"/>
    <xf numFmtId="0" fontId="0" fillId="0" borderId="0" xfId="0" applyFill="1" applyAlignment="1">
      <alignment horizontal="center"/>
    </xf>
    <xf numFmtId="0" fontId="2" fillId="0" borderId="7" xfId="0" applyFont="1" applyBorder="1"/>
    <xf numFmtId="0" fontId="0" fillId="0" borderId="8" xfId="0" applyBorder="1"/>
    <xf numFmtId="0" fontId="0" fillId="0" borderId="7" xfId="0" applyBorder="1"/>
    <xf numFmtId="0" fontId="0" fillId="0" borderId="10" xfId="0" applyBorder="1"/>
    <xf numFmtId="0" fontId="7" fillId="0" borderId="0" xfId="0" applyFont="1"/>
    <xf numFmtId="10" fontId="7" fillId="0" borderId="0" xfId="0" applyNumberFormat="1" applyFont="1"/>
    <xf numFmtId="10" fontId="8" fillId="0" borderId="0" xfId="0" applyNumberFormat="1" applyFont="1"/>
    <xf numFmtId="10" fontId="2" fillId="0" borderId="1" xfId="1" applyNumberFormat="1" applyFont="1" applyFill="1" applyBorder="1"/>
    <xf numFmtId="10" fontId="0" fillId="0" borderId="3" xfId="0" applyNumberFormat="1" applyBorder="1"/>
    <xf numFmtId="10" fontId="0" fillId="0" borderId="5" xfId="0" applyNumberFormat="1" applyBorder="1"/>
    <xf numFmtId="10" fontId="0" fillId="0" borderId="0" xfId="0" applyNumberFormat="1" applyFill="1" applyAlignment="1">
      <alignment horizontal="center"/>
    </xf>
    <xf numFmtId="0" fontId="6" fillId="0" borderId="0" xfId="0" applyFont="1"/>
    <xf numFmtId="0" fontId="0" fillId="0" borderId="1" xfId="0" applyFill="1" applyBorder="1"/>
    <xf numFmtId="0" fontId="6" fillId="0" borderId="1" xfId="0" applyFont="1" applyFill="1" applyBorder="1"/>
    <xf numFmtId="10" fontId="6" fillId="0" borderId="1" xfId="1" applyNumberFormat="1" applyFont="1" applyBorder="1"/>
    <xf numFmtId="0" fontId="12" fillId="0" borderId="1" xfId="0" applyFont="1" applyBorder="1"/>
    <xf numFmtId="10" fontId="12" fillId="0" borderId="1" xfId="1" applyNumberFormat="1" applyFont="1" applyBorder="1"/>
    <xf numFmtId="172" fontId="10" fillId="0" borderId="0" xfId="0" applyNumberFormat="1" applyFont="1" applyFill="1" applyBorder="1" applyAlignment="1">
      <alignment horizontal="center"/>
    </xf>
    <xf numFmtId="3" fontId="9" fillId="0" borderId="0" xfId="0" applyNumberFormat="1" applyFont="1" applyFill="1" applyBorder="1" applyAlignment="1">
      <alignment horizontal="center" vertical="center"/>
    </xf>
    <xf numFmtId="0" fontId="11" fillId="0" borderId="0" xfId="0" applyFont="1" applyFill="1" applyBorder="1"/>
    <xf numFmtId="0" fontId="2" fillId="0" borderId="0" xfId="0" applyFont="1" applyFill="1" applyBorder="1"/>
    <xf numFmtId="0" fontId="7" fillId="0" borderId="0" xfId="0" applyFont="1" applyFill="1" applyBorder="1"/>
    <xf numFmtId="172" fontId="0" fillId="0" borderId="0" xfId="0" applyNumberFormat="1" applyFill="1" applyBorder="1"/>
    <xf numFmtId="169" fontId="0" fillId="0" borderId="0" xfId="1" applyNumberFormat="1" applyFont="1" applyFill="1" applyBorder="1"/>
    <xf numFmtId="172" fontId="2" fillId="0" borderId="0" xfId="0" applyNumberFormat="1" applyFont="1" applyFill="1" applyBorder="1"/>
    <xf numFmtId="10" fontId="2" fillId="0" borderId="0" xfId="1" applyNumberFormat="1" applyFont="1" applyFill="1" applyBorder="1"/>
    <xf numFmtId="173" fontId="0" fillId="0" borderId="0" xfId="3" applyNumberFormat="1" applyFont="1" applyFill="1" applyBorder="1"/>
    <xf numFmtId="0" fontId="0" fillId="0" borderId="0" xfId="0" applyBorder="1"/>
    <xf numFmtId="172" fontId="0" fillId="0" borderId="0" xfId="0" applyNumberFormat="1"/>
    <xf numFmtId="1" fontId="0" fillId="0" borderId="1" xfId="3" applyNumberFormat="1" applyFont="1" applyBorder="1"/>
    <xf numFmtId="171" fontId="0" fillId="0" borderId="1" xfId="4" applyNumberFormat="1" applyFont="1" applyFill="1" applyBorder="1"/>
    <xf numFmtId="0" fontId="13" fillId="0" borderId="12" xfId="9" applyAlignment="1">
      <alignment horizontal="right"/>
    </xf>
    <xf numFmtId="0" fontId="13" fillId="0" borderId="12" xfId="9"/>
    <xf numFmtId="0" fontId="0" fillId="0" borderId="0" xfId="0" applyAlignment="1">
      <alignment horizontal="right"/>
    </xf>
    <xf numFmtId="0" fontId="14" fillId="4" borderId="13" xfId="10" applyAlignment="1">
      <alignment horizontal="right"/>
    </xf>
    <xf numFmtId="174" fontId="15" fillId="5" borderId="13" xfId="11" applyNumberFormat="1"/>
    <xf numFmtId="0" fontId="0" fillId="0" borderId="0" xfId="0" applyAlignment="1">
      <alignment wrapText="1"/>
    </xf>
    <xf numFmtId="175" fontId="16" fillId="0" borderId="0" xfId="0" applyNumberFormat="1" applyFont="1" applyAlignment="1" applyProtection="1">
      <alignment horizontal="left"/>
    </xf>
    <xf numFmtId="176" fontId="0" fillId="0" borderId="0" xfId="0" applyNumberFormat="1"/>
    <xf numFmtId="0" fontId="2" fillId="0" borderId="0" xfId="0" applyFont="1" applyFill="1"/>
    <xf numFmtId="0" fontId="2" fillId="6" borderId="0" xfId="0" applyFont="1" applyFill="1"/>
    <xf numFmtId="0" fontId="0" fillId="0" borderId="0" xfId="0" applyAlignment="1">
      <alignment horizontal="center" vertical="center"/>
    </xf>
    <xf numFmtId="172" fontId="0" fillId="2" borderId="14" xfId="0" applyNumberFormat="1" applyFill="1" applyBorder="1" applyAlignment="1">
      <alignment horizontal="center" vertical="center"/>
    </xf>
    <xf numFmtId="172" fontId="0" fillId="2" borderId="14" xfId="12" applyNumberFormat="1" applyFont="1" applyFill="1" applyBorder="1" applyAlignment="1">
      <alignment horizontal="center" vertical="center"/>
    </xf>
    <xf numFmtId="0" fontId="17" fillId="0" borderId="0" xfId="13"/>
    <xf numFmtId="172" fontId="0" fillId="0" borderId="0" xfId="12" applyNumberFormat="1" applyFont="1" applyAlignment="1">
      <alignment horizontal="center" vertical="center"/>
    </xf>
    <xf numFmtId="172" fontId="0" fillId="0" borderId="0" xfId="0" applyNumberFormat="1" applyAlignment="1">
      <alignment horizontal="center" vertical="center"/>
    </xf>
    <xf numFmtId="0" fontId="2" fillId="6" borderId="0" xfId="0" applyFont="1" applyFill="1" applyAlignment="1">
      <alignment horizontal="center" vertical="center"/>
    </xf>
    <xf numFmtId="0" fontId="0" fillId="0" borderId="15" xfId="0" quotePrefix="1" applyBorder="1"/>
    <xf numFmtId="172" fontId="0" fillId="0" borderId="15" xfId="12" applyNumberFormat="1" applyFont="1" applyBorder="1" applyAlignment="1">
      <alignment horizontal="center" vertical="center"/>
    </xf>
    <xf numFmtId="0" fontId="0" fillId="0" borderId="0" xfId="0" applyFont="1"/>
    <xf numFmtId="169" fontId="0" fillId="0" borderId="0" xfId="1" applyNumberFormat="1" applyFont="1" applyAlignment="1"/>
    <xf numFmtId="177" fontId="0" fillId="0" borderId="0" xfId="12" applyNumberFormat="1" applyFont="1" applyAlignment="1">
      <alignment horizontal="center" vertical="center"/>
    </xf>
    <xf numFmtId="172" fontId="0" fillId="0" borderId="0" xfId="12" applyNumberFormat="1" applyFont="1" applyBorder="1" applyAlignment="1">
      <alignment horizontal="center" vertical="center"/>
    </xf>
    <xf numFmtId="167" fontId="0" fillId="0" borderId="0" xfId="0" applyNumberFormat="1"/>
    <xf numFmtId="0" fontId="0" fillId="0" borderId="0" xfId="0" applyAlignment="1">
      <alignment horizontal="left"/>
    </xf>
    <xf numFmtId="172" fontId="0" fillId="2" borderId="0" xfId="0" applyNumberFormat="1" applyFill="1" applyAlignment="1">
      <alignment horizontal="center" vertical="center"/>
    </xf>
    <xf numFmtId="172" fontId="0" fillId="2" borderId="0" xfId="12" applyNumberFormat="1" applyFont="1" applyFill="1" applyAlignment="1">
      <alignment horizontal="center" vertical="center"/>
    </xf>
    <xf numFmtId="0" fontId="2" fillId="7" borderId="0" xfId="0" applyFont="1" applyFill="1"/>
    <xf numFmtId="178" fontId="0" fillId="0" borderId="1" xfId="0" applyNumberFormat="1" applyFill="1" applyBorder="1"/>
    <xf numFmtId="178" fontId="0" fillId="0" borderId="0" xfId="0" applyNumberFormat="1" applyFill="1"/>
    <xf numFmtId="179" fontId="0" fillId="0" borderId="0" xfId="0" applyNumberFormat="1" applyFill="1" applyBorder="1"/>
    <xf numFmtId="174" fontId="0" fillId="0" borderId="0" xfId="0" applyNumberFormat="1" applyFill="1"/>
    <xf numFmtId="165" fontId="0" fillId="0" borderId="1" xfId="0" applyNumberFormat="1" applyFill="1" applyBorder="1"/>
    <xf numFmtId="165" fontId="0" fillId="0" borderId="16" xfId="0" applyNumberFormat="1" applyFill="1" applyBorder="1"/>
    <xf numFmtId="167" fontId="0" fillId="0" borderId="0" xfId="12" applyFont="1"/>
    <xf numFmtId="10" fontId="0" fillId="0" borderId="1" xfId="1" applyNumberFormat="1" applyFont="1" applyFill="1" applyBorder="1"/>
    <xf numFmtId="169" fontId="0" fillId="0" borderId="0" xfId="0" applyNumberFormat="1" applyFill="1"/>
    <xf numFmtId="3" fontId="6" fillId="0" borderId="1" xfId="0" applyNumberFormat="1" applyFont="1" applyFill="1" applyBorder="1"/>
    <xf numFmtId="0" fontId="6" fillId="0" borderId="0" xfId="0" applyFont="1" applyFill="1"/>
    <xf numFmtId="0" fontId="0" fillId="0" borderId="0" xfId="0" applyFont="1" applyFill="1"/>
    <xf numFmtId="0" fontId="7" fillId="0" borderId="0" xfId="0" applyFont="1" applyFill="1"/>
    <xf numFmtId="0" fontId="2" fillId="0" borderId="7" xfId="0" applyFont="1" applyFill="1" applyBorder="1"/>
    <xf numFmtId="0" fontId="0" fillId="0" borderId="7" xfId="0" applyFill="1" applyBorder="1"/>
    <xf numFmtId="0" fontId="0" fillId="0" borderId="8" xfId="0" applyFill="1" applyBorder="1"/>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10" fontId="0" fillId="0" borderId="7" xfId="1" applyNumberFormat="1" applyFont="1" applyFill="1" applyBorder="1"/>
    <xf numFmtId="10" fontId="0" fillId="0" borderId="10" xfId="1" applyNumberFormat="1" applyFont="1" applyFill="1" applyBorder="1"/>
    <xf numFmtId="10" fontId="0" fillId="0" borderId="1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9"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0" fillId="0" borderId="7" xfId="1" applyNumberFormat="1" applyFont="1" applyBorder="1"/>
    <xf numFmtId="10" fontId="0" fillId="0" borderId="10" xfId="1" applyNumberFormat="1" applyFont="1" applyBorder="1"/>
    <xf numFmtId="10" fontId="0" fillId="0" borderId="3" xfId="0" applyNumberFormat="1" applyFill="1" applyBorder="1"/>
    <xf numFmtId="10" fontId="0" fillId="0" borderId="5" xfId="0" applyNumberFormat="1" applyFill="1" applyBorder="1"/>
    <xf numFmtId="166" fontId="0" fillId="0" borderId="0" xfId="4" applyNumberFormat="1" applyFont="1" applyFill="1"/>
    <xf numFmtId="166" fontId="0" fillId="0" borderId="1" xfId="4" applyNumberFormat="1" applyFont="1" applyFill="1" applyBorder="1"/>
    <xf numFmtId="9" fontId="0" fillId="0" borderId="0" xfId="1" applyFont="1" applyFill="1"/>
    <xf numFmtId="10" fontId="6" fillId="0" borderId="0" xfId="0" applyNumberFormat="1" applyFont="1" applyFill="1"/>
    <xf numFmtId="0" fontId="6" fillId="0" borderId="0" xfId="0" applyFont="1" applyFill="1" applyAlignment="1"/>
    <xf numFmtId="10" fontId="0" fillId="3" borderId="0" xfId="0" applyNumberFormat="1" applyFill="1" applyAlignment="1">
      <alignment horizontal="center"/>
    </xf>
    <xf numFmtId="10" fontId="0" fillId="3" borderId="0" xfId="1" applyNumberFormat="1" applyFont="1" applyFill="1"/>
    <xf numFmtId="10" fontId="0" fillId="3" borderId="0" xfId="0" applyNumberFormat="1" applyFill="1"/>
    <xf numFmtId="0" fontId="0" fillId="0" borderId="0" xfId="0"/>
    <xf numFmtId="10" fontId="0" fillId="0" borderId="0" xfId="0" applyNumberFormat="1" applyFill="1"/>
    <xf numFmtId="0" fontId="0" fillId="3" borderId="7" xfId="0" applyFill="1" applyBorder="1"/>
    <xf numFmtId="3" fontId="6" fillId="12" borderId="1" xfId="0" applyNumberFormat="1" applyFont="1" applyFill="1" applyBorder="1"/>
    <xf numFmtId="0" fontId="0" fillId="0" borderId="1" xfId="0" applyBorder="1" applyAlignment="1">
      <alignment horizontal="center" vertical="center" wrapText="1"/>
    </xf>
    <xf numFmtId="10" fontId="0" fillId="0" borderId="1" xfId="1" applyNumberFormat="1" applyFont="1" applyBorder="1" applyAlignment="1">
      <alignment horizontal="center"/>
    </xf>
    <xf numFmtId="10" fontId="6" fillId="53" borderId="1" xfId="1" applyNumberFormat="1" applyFont="1" applyFill="1" applyBorder="1"/>
    <xf numFmtId="0" fontId="0" fillId="53" borderId="9" xfId="0" applyFill="1" applyBorder="1" applyAlignment="1">
      <alignment horizontal="centerContinuous"/>
    </xf>
    <xf numFmtId="0" fontId="0" fillId="53" borderId="33" xfId="0" applyFill="1" applyBorder="1" applyAlignment="1">
      <alignment horizontal="centerContinuous"/>
    </xf>
    <xf numFmtId="0" fontId="0" fillId="53" borderId="34" xfId="0" applyFill="1" applyBorder="1" applyAlignment="1">
      <alignment horizontal="centerContinuous"/>
    </xf>
    <xf numFmtId="10" fontId="2" fillId="53" borderId="0" xfId="1" applyNumberFormat="1" applyFont="1" applyFill="1"/>
    <xf numFmtId="10" fontId="2" fillId="53" borderId="1" xfId="1" applyNumberFormat="1" applyFont="1" applyFill="1" applyBorder="1"/>
    <xf numFmtId="0" fontId="0" fillId="53" borderId="0" xfId="0" applyFill="1"/>
    <xf numFmtId="0" fontId="0" fillId="53" borderId="0" xfId="0" applyFill="1" applyAlignment="1">
      <alignment horizontal="center"/>
    </xf>
    <xf numFmtId="169" fontId="0" fillId="53" borderId="0" xfId="0" applyNumberFormat="1" applyFill="1" applyAlignment="1">
      <alignment horizontal="center"/>
    </xf>
    <xf numFmtId="10" fontId="0" fillId="3" borderId="0" xfId="1" applyNumberFormat="1" applyFont="1" applyFill="1" applyAlignment="1">
      <alignment horizontal="center"/>
    </xf>
    <xf numFmtId="3" fontId="0" fillId="53" borderId="0" xfId="0" applyNumberFormat="1" applyFill="1"/>
    <xf numFmtId="10" fontId="0" fillId="54" borderId="1" xfId="1" applyNumberFormat="1" applyFont="1" applyFill="1" applyBorder="1" applyAlignment="1">
      <alignment horizontal="center"/>
    </xf>
    <xf numFmtId="10" fontId="0" fillId="53" borderId="1" xfId="1" applyNumberFormat="1" applyFont="1" applyFill="1" applyBorder="1"/>
    <xf numFmtId="0" fontId="0" fillId="0" borderId="6" xfId="0" applyFill="1" applyBorder="1" applyAlignment="1">
      <alignment horizontal="center"/>
    </xf>
    <xf numFmtId="0" fontId="80" fillId="55" borderId="0" xfId="411" applyFont="1" applyFill="1"/>
    <xf numFmtId="0" fontId="80" fillId="55" borderId="0" xfId="411" applyFont="1" applyFill="1" applyAlignment="1">
      <alignment vertical="center"/>
    </xf>
    <xf numFmtId="0" fontId="81" fillId="55" borderId="0" xfId="411" applyFont="1" applyFill="1" applyAlignment="1">
      <alignment horizontal="left" vertical="center" indent="6"/>
    </xf>
    <xf numFmtId="0" fontId="80" fillId="55" borderId="0" xfId="411" applyFont="1" applyFill="1" applyAlignment="1">
      <alignment horizontal="right" vertical="center"/>
    </xf>
    <xf numFmtId="0" fontId="16" fillId="56" borderId="35" xfId="411" applyFont="1" applyFill="1" applyBorder="1" applyAlignment="1">
      <alignment horizontal="center" vertical="center"/>
    </xf>
    <xf numFmtId="0" fontId="16" fillId="57" borderId="35" xfId="411" applyFont="1" applyFill="1" applyBorder="1" applyAlignment="1">
      <alignment horizontal="center" vertical="center"/>
    </xf>
    <xf numFmtId="0" fontId="16" fillId="47" borderId="35" xfId="411" applyFont="1" applyFill="1" applyBorder="1" applyAlignment="1">
      <alignment horizontal="center" vertical="center"/>
    </xf>
    <xf numFmtId="0" fontId="29" fillId="58" borderId="36" xfId="411" applyFont="1" applyFill="1" applyBorder="1" applyAlignment="1">
      <alignment horizontal="center" vertical="center"/>
    </xf>
    <xf numFmtId="0" fontId="29" fillId="59" borderId="36" xfId="281" applyFont="1" applyFill="1" applyBorder="1" applyAlignment="1">
      <alignment horizontal="center" vertical="center"/>
    </xf>
    <xf numFmtId="0" fontId="29" fillId="59" borderId="1" xfId="281" applyFont="1" applyFill="1" applyBorder="1" applyAlignment="1">
      <alignment horizontal="center" vertical="center"/>
    </xf>
    <xf numFmtId="172" fontId="16" fillId="60" borderId="37" xfId="411" applyNumberFormat="1" applyFont="1" applyFill="1" applyBorder="1" applyAlignment="1">
      <alignment horizontal="center" vertical="center"/>
    </xf>
    <xf numFmtId="0" fontId="80" fillId="55" borderId="38" xfId="411" applyFont="1" applyFill="1" applyBorder="1"/>
    <xf numFmtId="0" fontId="80" fillId="55" borderId="38" xfId="411" applyFont="1" applyFill="1" applyBorder="1" applyAlignment="1">
      <alignment vertical="center"/>
    </xf>
    <xf numFmtId="0" fontId="82" fillId="55" borderId="38" xfId="411" applyFont="1" applyFill="1" applyBorder="1" applyAlignment="1">
      <alignment horizontal="left" indent="6"/>
    </xf>
    <xf numFmtId="0" fontId="82" fillId="55" borderId="39" xfId="411" applyFont="1" applyFill="1" applyBorder="1"/>
    <xf numFmtId="0" fontId="80" fillId="55" borderId="39" xfId="411" applyFont="1" applyFill="1" applyBorder="1"/>
    <xf numFmtId="172" fontId="80" fillId="55" borderId="0" xfId="411" applyNumberFormat="1" applyFont="1" applyFill="1"/>
    <xf numFmtId="172" fontId="80" fillId="55" borderId="0" xfId="411" applyNumberFormat="1" applyFont="1" applyFill="1" applyAlignment="1">
      <alignment vertical="center"/>
    </xf>
    <xf numFmtId="172" fontId="83" fillId="55" borderId="0" xfId="411" applyNumberFormat="1" applyFont="1" applyFill="1"/>
    <xf numFmtId="172" fontId="16" fillId="11" borderId="0" xfId="411" applyNumberFormat="1" applyFont="1" applyFill="1"/>
    <xf numFmtId="172" fontId="16" fillId="11" borderId="0" xfId="411" applyNumberFormat="1" applyFont="1" applyFill="1" applyAlignment="1">
      <alignment vertical="center"/>
    </xf>
    <xf numFmtId="172" fontId="80" fillId="55" borderId="0" xfId="0" applyNumberFormat="1" applyFont="1" applyFill="1"/>
    <xf numFmtId="172" fontId="57" fillId="55" borderId="0" xfId="0" applyNumberFormat="1" applyFont="1" applyFill="1"/>
    <xf numFmtId="172" fontId="83" fillId="55" borderId="0" xfId="0" applyNumberFormat="1" applyFont="1" applyFill="1"/>
    <xf numFmtId="0" fontId="84" fillId="0" borderId="0" xfId="0" applyFont="1"/>
    <xf numFmtId="0" fontId="85" fillId="55" borderId="40" xfId="0" applyFont="1" applyFill="1" applyBorder="1" applyAlignment="1">
      <alignment horizontal="left"/>
    </xf>
    <xf numFmtId="0" fontId="85" fillId="55" borderId="40" xfId="0" applyFont="1" applyFill="1" applyBorder="1" applyAlignment="1">
      <alignment horizontal="center"/>
    </xf>
    <xf numFmtId="0" fontId="5" fillId="0" borderId="40" xfId="0" applyFont="1" applyBorder="1"/>
    <xf numFmtId="0" fontId="0" fillId="61" borderId="0" xfId="0" applyFill="1"/>
    <xf numFmtId="0" fontId="28" fillId="61" borderId="0" xfId="0" applyFont="1" applyFill="1"/>
    <xf numFmtId="169" fontId="86" fillId="62" borderId="40" xfId="0" applyNumberFormat="1" applyFont="1" applyFill="1" applyBorder="1" applyAlignment="1">
      <alignment horizontal="center"/>
    </xf>
    <xf numFmtId="0" fontId="19" fillId="0" borderId="40" xfId="0" applyFont="1" applyBorder="1"/>
    <xf numFmtId="172" fontId="0" fillId="63" borderId="1" xfId="3" applyNumberFormat="1" applyFont="1" applyFill="1" applyBorder="1"/>
    <xf numFmtId="3" fontId="0" fillId="63" borderId="1" xfId="0" applyNumberFormat="1" applyFill="1" applyBorder="1"/>
    <xf numFmtId="168" fontId="0" fillId="63" borderId="1" xfId="0" applyNumberFormat="1" applyFill="1" applyBorder="1"/>
    <xf numFmtId="0" fontId="0" fillId="63" borderId="1" xfId="0" applyFill="1" applyBorder="1"/>
    <xf numFmtId="3" fontId="6" fillId="63" borderId="1" xfId="0" applyNumberFormat="1" applyFont="1" applyFill="1" applyBorder="1"/>
    <xf numFmtId="3" fontId="0" fillId="65" borderId="1" xfId="0" applyNumberFormat="1" applyFill="1" applyBorder="1"/>
    <xf numFmtId="0" fontId="0" fillId="64" borderId="1" xfId="0" applyFill="1" applyBorder="1" applyAlignment="1">
      <alignment wrapText="1"/>
    </xf>
    <xf numFmtId="169" fontId="87" fillId="62" borderId="40" xfId="0" applyNumberFormat="1" applyFont="1" applyFill="1" applyBorder="1" applyAlignment="1">
      <alignment horizontal="center"/>
    </xf>
    <xf numFmtId="0" fontId="0" fillId="3" borderId="0" xfId="0" applyFill="1" applyAlignment="1">
      <alignment horizontal="center" wrapText="1"/>
    </xf>
    <xf numFmtId="0" fontId="0" fillId="53" borderId="9" xfId="0" applyFill="1" applyBorder="1" applyAlignment="1">
      <alignment horizontal="center"/>
    </xf>
    <xf numFmtId="0" fontId="0" fillId="53" borderId="33" xfId="0" applyFill="1" applyBorder="1" applyAlignment="1">
      <alignment horizontal="center"/>
    </xf>
    <xf numFmtId="0" fontId="0" fillId="53" borderId="34" xfId="0" applyFill="1" applyBorder="1" applyAlignment="1">
      <alignment horizontal="center"/>
    </xf>
    <xf numFmtId="0" fontId="6" fillId="0" borderId="6" xfId="0" applyFont="1" applyBorder="1" applyAlignment="1">
      <alignment horizontal="center"/>
    </xf>
    <xf numFmtId="0" fontId="0" fillId="0" borderId="6" xfId="0" applyFill="1" applyBorder="1" applyAlignment="1">
      <alignment horizontal="center"/>
    </xf>
    <xf numFmtId="0" fontId="0" fillId="3" borderId="0" xfId="0" applyFill="1" applyAlignment="1">
      <alignment horizontal="center"/>
    </xf>
  </cellXfs>
  <cellStyles count="924">
    <cellStyle name=" 1" xfId="15"/>
    <cellStyle name=" 1 2" xfId="17"/>
    <cellStyle name=" 1 2 2" xfId="19"/>
    <cellStyle name=" 1 2 3" xfId="45"/>
    <cellStyle name=" 1 3" xfId="16"/>
    <cellStyle name=" 1 3 2" xfId="36"/>
    <cellStyle name=" 1 4" xfId="18"/>
    <cellStyle name=" 1_29(d) - Gas extensions -tariffs" xfId="39"/>
    <cellStyle name="_3GIS model v2.77_Distribution Business_Retail Fin Perform " xfId="20"/>
    <cellStyle name="_3GIS model v2.77_Fleet Overhead Costs 2_Retail Fin Perform " xfId="21"/>
    <cellStyle name="_3GIS model v2.77_Fleet Overhead Costs_Retail Fin Perform " xfId="22"/>
    <cellStyle name="_3GIS model v2.77_Forecast 2_Retail Fin Perform " xfId="23"/>
    <cellStyle name="_3GIS model v2.77_Forecast_Retail Fin Perform " xfId="24"/>
    <cellStyle name="_3GIS model v2.77_Funding &amp; Cashflow_1_Retail Fin Perform " xfId="25"/>
    <cellStyle name="_3GIS model v2.77_Funding &amp; Cashflow_Retail Fin Perform " xfId="26"/>
    <cellStyle name="_3GIS model v2.77_Group P&amp;L_1_Retail Fin Perform " xfId="27"/>
    <cellStyle name="_3GIS model v2.77_Group P&amp;L_Retail Fin Perform " xfId="28"/>
    <cellStyle name="_3GIS model v2.77_Opening  Detailed BS_Retail Fin Perform " xfId="29"/>
    <cellStyle name="_3GIS model v2.77_OUTPUT DB_Retail Fin Perform " xfId="30"/>
    <cellStyle name="_3GIS model v2.77_OUTPUT EB_Retail Fin Perform " xfId="31"/>
    <cellStyle name="_3GIS model v2.77_Report_Retail Fin Perform " xfId="32"/>
    <cellStyle name="_3GIS model v2.77_Retail Fin Perform " xfId="33"/>
    <cellStyle name="_3GIS model v2.77_Sheet2 2_Retail Fin Perform " xfId="34"/>
    <cellStyle name="_3GIS model v2.77_Sheet2_Retail Fin Perform " xfId="35"/>
    <cellStyle name="_Capex" xfId="51"/>
    <cellStyle name="_Capex 2" xfId="52"/>
    <cellStyle name="_Capex_29(d) - Gas extensions -tariffs" xfId="53"/>
    <cellStyle name="_UED AMP 2009-14 Final 250309 Less PU" xfId="54"/>
    <cellStyle name="_UED AMP 2009-14 Final 250309 Less PU_1011 monthly" xfId="55"/>
    <cellStyle name="20% - Accent1 2" xfId="56"/>
    <cellStyle name="20% - Accent1 2 2" xfId="594"/>
    <cellStyle name="20% - Accent1 3" xfId="57"/>
    <cellStyle name="20% - Accent2 2" xfId="58"/>
    <cellStyle name="20% - Accent3 2" xfId="59"/>
    <cellStyle name="20% - Accent4 2" xfId="60"/>
    <cellStyle name="20% - Accent5 2" xfId="61"/>
    <cellStyle name="20% - Accent5 2 2" xfId="595"/>
    <cellStyle name="20% - Accent6 2" xfId="62"/>
    <cellStyle name="40% - Accent1 2" xfId="63"/>
    <cellStyle name="40% - Accent1 2 2" xfId="596"/>
    <cellStyle name="40% - Accent1 3" xfId="64"/>
    <cellStyle name="40% - Accent2 2" xfId="65"/>
    <cellStyle name="40% - Accent3 2" xfId="66"/>
    <cellStyle name="40% - Accent4 2" xfId="67"/>
    <cellStyle name="40% - Accent5 2" xfId="68"/>
    <cellStyle name="40% - Accent5 2 2" xfId="597"/>
    <cellStyle name="40% - Accent6 2" xfId="69"/>
    <cellStyle name="60% - Accent1 2" xfId="70"/>
    <cellStyle name="60% - Accent1 2 2" xfId="598"/>
    <cellStyle name="60% - Accent2 2" xfId="71"/>
    <cellStyle name="60% - Accent3 2" xfId="72"/>
    <cellStyle name="60% - Accent4 2" xfId="73"/>
    <cellStyle name="60% - Accent5 2" xfId="74"/>
    <cellStyle name="60% - Accent5 2 2" xfId="599"/>
    <cellStyle name="60% - Accent6 2" xfId="75"/>
    <cellStyle name="Accent1 - 20%" xfId="76"/>
    <cellStyle name="Accent1 - 40%" xfId="77"/>
    <cellStyle name="Accent1 - 60%" xfId="78"/>
    <cellStyle name="Accent1 2" xfId="79"/>
    <cellStyle name="Accent1 3" xfId="563"/>
    <cellStyle name="Accent1 4" xfId="564"/>
    <cellStyle name="Accent1 5" xfId="565"/>
    <cellStyle name="Accent2 - 20%" xfId="80"/>
    <cellStyle name="Accent2 - 40%" xfId="81"/>
    <cellStyle name="Accent2 - 60%" xfId="82"/>
    <cellStyle name="Accent2 2" xfId="83"/>
    <cellStyle name="Accent2 3" xfId="566"/>
    <cellStyle name="Accent2 4" xfId="567"/>
    <cellStyle name="Accent2 5" xfId="568"/>
    <cellStyle name="Accent3 - 20%" xfId="84"/>
    <cellStyle name="Accent3 - 40%" xfId="85"/>
    <cellStyle name="Accent3 - 60%" xfId="86"/>
    <cellStyle name="Accent3 2" xfId="87"/>
    <cellStyle name="Accent3 3" xfId="569"/>
    <cellStyle name="Accent3 4" xfId="570"/>
    <cellStyle name="Accent3 5" xfId="571"/>
    <cellStyle name="Accent4 - 20%" xfId="88"/>
    <cellStyle name="Accent4 - 40%" xfId="89"/>
    <cellStyle name="Accent4 - 60%" xfId="90"/>
    <cellStyle name="Accent4 2" xfId="91"/>
    <cellStyle name="Accent4 3" xfId="572"/>
    <cellStyle name="Accent4 4" xfId="573"/>
    <cellStyle name="Accent4 5" xfId="574"/>
    <cellStyle name="Accent5 - 20%" xfId="92"/>
    <cellStyle name="Accent5 - 40%" xfId="93"/>
    <cellStyle name="Accent5 - 60%" xfId="94"/>
    <cellStyle name="Accent5 2" xfId="95"/>
    <cellStyle name="Accent5 3" xfId="575"/>
    <cellStyle name="Accent5 4" xfId="576"/>
    <cellStyle name="Accent5 5" xfId="577"/>
    <cellStyle name="Accent6 - 20%" xfId="96"/>
    <cellStyle name="Accent6 - 40%" xfId="97"/>
    <cellStyle name="Accent6 - 60%" xfId="98"/>
    <cellStyle name="Accent6 2" xfId="99"/>
    <cellStyle name="Accent6 3" xfId="578"/>
    <cellStyle name="Accent6 4" xfId="579"/>
    <cellStyle name="Accent6 5" xfId="580"/>
    <cellStyle name="Agara" xfId="100"/>
    <cellStyle name="B79812_.wvu.PrintTitlest" xfId="101"/>
    <cellStyle name="Bad 2" xfId="102"/>
    <cellStyle name="Black" xfId="103"/>
    <cellStyle name="Blockout" xfId="104"/>
    <cellStyle name="Blockout 2" xfId="105"/>
    <cellStyle name="Blockout 2 2" xfId="600"/>
    <cellStyle name="Blockout 3" xfId="106"/>
    <cellStyle name="Blockout 4" xfId="601"/>
    <cellStyle name="Blue" xfId="107"/>
    <cellStyle name="Calculation" xfId="11" builtinId="22"/>
    <cellStyle name="Calculation 2" xfId="108"/>
    <cellStyle name="Calculation 2 2" xfId="109"/>
    <cellStyle name="Calculation 2 2 2" xfId="602"/>
    <cellStyle name="Calculation 2 2 2 2" xfId="603"/>
    <cellStyle name="Calculation 2 2 3" xfId="604"/>
    <cellStyle name="Calculation 2 2 3 2" xfId="605"/>
    <cellStyle name="Calculation 2 2 4" xfId="606"/>
    <cellStyle name="Calculation 2 2 5" xfId="607"/>
    <cellStyle name="Calculation 2 3" xfId="110"/>
    <cellStyle name="Calculation 2 3 2" xfId="608"/>
    <cellStyle name="Calculation 2 3 2 2" xfId="609"/>
    <cellStyle name="Calculation 2 3 3" xfId="610"/>
    <cellStyle name="Calculation 2 3 3 2" xfId="611"/>
    <cellStyle name="Calculation 2 3 4" xfId="612"/>
    <cellStyle name="Calculation 2 3 5" xfId="613"/>
    <cellStyle name="Calculation 2 4" xfId="614"/>
    <cellStyle name="Calculation 2 4 2" xfId="615"/>
    <cellStyle name="Calculation 2 4 2 2" xfId="616"/>
    <cellStyle name="Calculation 2 4 3" xfId="617"/>
    <cellStyle name="Calculation 2 4 3 2" xfId="618"/>
    <cellStyle name="Calculation 2 4 4" xfId="619"/>
    <cellStyle name="Calculation 2 5" xfId="620"/>
    <cellStyle name="Calculation 2 5 2" xfId="621"/>
    <cellStyle name="Calculation 2 5 2 2" xfId="622"/>
    <cellStyle name="Calculation 2 5 3" xfId="623"/>
    <cellStyle name="Calculation 2 5 3 2" xfId="624"/>
    <cellStyle name="Calculation 2 5 4" xfId="625"/>
    <cellStyle name="Calculation 2 6" xfId="626"/>
    <cellStyle name="Calculation 2 7" xfId="627"/>
    <cellStyle name="Check Cell 2" xfId="111"/>
    <cellStyle name="Check Cell 2 2" xfId="628"/>
    <cellStyle name="Check Cell 2 2 2" xfId="629"/>
    <cellStyle name="Check Cell 2 2 2 2" xfId="112"/>
    <cellStyle name="Comma" xfId="3" builtinId="3"/>
    <cellStyle name="Comma [0]7Z_87C" xfId="113"/>
    <cellStyle name="Comma 0" xfId="114"/>
    <cellStyle name="Comma 1" xfId="115"/>
    <cellStyle name="Comma 1 2" xfId="116"/>
    <cellStyle name="Comma 10" xfId="117"/>
    <cellStyle name="Comma 11" xfId="118"/>
    <cellStyle name="Comma 12" xfId="14"/>
    <cellStyle name="Comma 2" xfId="5"/>
    <cellStyle name="Comma 2 2" xfId="120"/>
    <cellStyle name="Comma 2 2 2" xfId="121"/>
    <cellStyle name="Comma 2 2 3" xfId="122"/>
    <cellStyle name="Comma 2 3" xfId="123"/>
    <cellStyle name="Comma 2 3 2" xfId="124"/>
    <cellStyle name="Comma 2 4" xfId="125"/>
    <cellStyle name="Comma 2 5" xfId="126"/>
    <cellStyle name="Comma 2 5 2" xfId="630"/>
    <cellStyle name="Comma 2 6" xfId="127"/>
    <cellStyle name="Comma 2 7" xfId="119"/>
    <cellStyle name="Comma 3" xfId="12"/>
    <cellStyle name="Comma 3 2" xfId="129"/>
    <cellStyle name="Comma 3 2 2" xfId="130"/>
    <cellStyle name="Comma 3 3" xfId="131"/>
    <cellStyle name="Comma 3 3 2" xfId="132"/>
    <cellStyle name="Comma 3 4" xfId="133"/>
    <cellStyle name="Comma 3 5" xfId="134"/>
    <cellStyle name="Comma 3 6" xfId="135"/>
    <cellStyle name="Comma 3 7" xfId="128"/>
    <cellStyle name="Comma 4" xfId="136"/>
    <cellStyle name="Comma 4 2" xfId="137"/>
    <cellStyle name="Comma 5" xfId="138"/>
    <cellStyle name="Comma 5 2" xfId="631"/>
    <cellStyle name="Comma 6" xfId="139"/>
    <cellStyle name="Comma 7" xfId="140"/>
    <cellStyle name="Comma 8" xfId="141"/>
    <cellStyle name="Comma 9" xfId="142"/>
    <cellStyle name="Comma 9 2" xfId="143"/>
    <cellStyle name="Comma 9 3" xfId="144"/>
    <cellStyle name="Comma0" xfId="145"/>
    <cellStyle name="Currency" xfId="4" builtinId="4"/>
    <cellStyle name="Currency 11" xfId="146"/>
    <cellStyle name="Currency 11 2" xfId="147"/>
    <cellStyle name="Currency 2" xfId="148"/>
    <cellStyle name="Currency 2 2" xfId="149"/>
    <cellStyle name="Currency 2 3" xfId="150"/>
    <cellStyle name="Currency 3" xfId="151"/>
    <cellStyle name="Currency 3 2" xfId="152"/>
    <cellStyle name="Currency 4" xfId="153"/>
    <cellStyle name="Currency 4 2" xfId="154"/>
    <cellStyle name="Currency 5" xfId="155"/>
    <cellStyle name="Currency 5 2" xfId="632"/>
    <cellStyle name="Currency 6" xfId="156"/>
    <cellStyle name="Currency 6 2" xfId="157"/>
    <cellStyle name="Currency 6 3" xfId="158"/>
    <cellStyle name="Currency 7" xfId="159"/>
    <cellStyle name="D4_B8B1_005004B79812_.wvu.PrintTitlest" xfId="160"/>
    <cellStyle name="Date" xfId="161"/>
    <cellStyle name="Date 2" xfId="162"/>
    <cellStyle name="dms_Blue_HDR" xfId="163"/>
    <cellStyle name="Emphasis 1" xfId="164"/>
    <cellStyle name="Emphasis 2" xfId="165"/>
    <cellStyle name="Emphasis 3" xfId="166"/>
    <cellStyle name="Euro" xfId="167"/>
    <cellStyle name="Explanatory Text 2" xfId="168"/>
    <cellStyle name="Fixed" xfId="169"/>
    <cellStyle name="Fixed 2" xfId="170"/>
    <cellStyle name="Gilsans" xfId="171"/>
    <cellStyle name="Gilsansl" xfId="172"/>
    <cellStyle name="Good 2" xfId="173"/>
    <cellStyle name="Heading 1 2" xfId="174"/>
    <cellStyle name="Heading 1 2 2" xfId="175"/>
    <cellStyle name="Heading 1 3" xfId="176"/>
    <cellStyle name="Heading 2 2" xfId="177"/>
    <cellStyle name="Heading 2 2 2" xfId="178"/>
    <cellStyle name="Heading 2 2 3" xfId="633"/>
    <cellStyle name="Heading 2 3" xfId="179"/>
    <cellStyle name="Heading 3" xfId="9" builtinId="18"/>
    <cellStyle name="Heading 3 2" xfId="180"/>
    <cellStyle name="Heading 3 2 2" xfId="181"/>
    <cellStyle name="Heading 3 2 2 2" xfId="182"/>
    <cellStyle name="Heading 3 2 2 2 2" xfId="183"/>
    <cellStyle name="Heading 3 2 2 2 2 2" xfId="184"/>
    <cellStyle name="Heading 3 2 2 2 2 3" xfId="185"/>
    <cellStyle name="Heading 3 2 2 2 2 4" xfId="186"/>
    <cellStyle name="Heading 3 2 2 2 3" xfId="187"/>
    <cellStyle name="Heading 3 2 2 2 4" xfId="188"/>
    <cellStyle name="Heading 3 2 2 2 5" xfId="189"/>
    <cellStyle name="Heading 3 2 2 2 6" xfId="634"/>
    <cellStyle name="Heading 3 2 2 3" xfId="190"/>
    <cellStyle name="Heading 3 2 2 3 2" xfId="191"/>
    <cellStyle name="Heading 3 2 2 3 2 2" xfId="192"/>
    <cellStyle name="Heading 3 2 2 3 2 3" xfId="193"/>
    <cellStyle name="Heading 3 2 2 3 2 4" xfId="194"/>
    <cellStyle name="Heading 3 2 2 3 3" xfId="195"/>
    <cellStyle name="Heading 3 2 2 3 4" xfId="196"/>
    <cellStyle name="Heading 3 2 2 3 5" xfId="197"/>
    <cellStyle name="Heading 3 2 2 4" xfId="198"/>
    <cellStyle name="Heading 3 2 2 4 2" xfId="199"/>
    <cellStyle name="Heading 3 2 2 4 3" xfId="200"/>
    <cellStyle name="Heading 3 2 2 4 4" xfId="201"/>
    <cellStyle name="Heading 3 2 2 5" xfId="202"/>
    <cellStyle name="Heading 3 2 2 5 2" xfId="203"/>
    <cellStyle name="Heading 3 2 2 5 3" xfId="204"/>
    <cellStyle name="Heading 3 2 2 6" xfId="635"/>
    <cellStyle name="Heading 3 2 3" xfId="205"/>
    <cellStyle name="Heading 3 2 3 2" xfId="636"/>
    <cellStyle name="Heading 3 2 4" xfId="206"/>
    <cellStyle name="Heading 3 2 4 2" xfId="207"/>
    <cellStyle name="Heading 3 2 4 2 2" xfId="208"/>
    <cellStyle name="Heading 3 2 4 2 3" xfId="209"/>
    <cellStyle name="Heading 3 2 4 2 4" xfId="210"/>
    <cellStyle name="Heading 3 2 4 3" xfId="211"/>
    <cellStyle name="Heading 3 2 4 4" xfId="212"/>
    <cellStyle name="Heading 3 2 4 5" xfId="213"/>
    <cellStyle name="Heading 3 2 5" xfId="214"/>
    <cellStyle name="Heading 3 2 5 2" xfId="215"/>
    <cellStyle name="Heading 3 2 5 2 2" xfId="216"/>
    <cellStyle name="Heading 3 2 5 2 3" xfId="217"/>
    <cellStyle name="Heading 3 2 5 2 4" xfId="218"/>
    <cellStyle name="Heading 3 2 5 3" xfId="219"/>
    <cellStyle name="Heading 3 2 5 4" xfId="220"/>
    <cellStyle name="Heading 3 2 5 5" xfId="221"/>
    <cellStyle name="Heading 3 2 6" xfId="222"/>
    <cellStyle name="Heading 3 2 6 2" xfId="223"/>
    <cellStyle name="Heading 3 2 6 3" xfId="224"/>
    <cellStyle name="Heading 3 2 6 4" xfId="225"/>
    <cellStyle name="Heading 3 2 7" xfId="226"/>
    <cellStyle name="Heading 3 2 7 2" xfId="227"/>
    <cellStyle name="Heading 3 2 7 3" xfId="228"/>
    <cellStyle name="Heading 3 2 8" xfId="637"/>
    <cellStyle name="Heading 3 3" xfId="229"/>
    <cellStyle name="Heading 4 2" xfId="230"/>
    <cellStyle name="Heading 4 2 2" xfId="231"/>
    <cellStyle name="Heading 4 3" xfId="232"/>
    <cellStyle name="Heading(4)" xfId="233"/>
    <cellStyle name="Hyperlink" xfId="13" builtinId="8"/>
    <cellStyle name="Hyperlink 2" xfId="234"/>
    <cellStyle name="Hyperlink 2 2" xfId="235"/>
    <cellStyle name="Hyperlink 2 3" xfId="236"/>
    <cellStyle name="Hyperlink 3" xfId="237"/>
    <cellStyle name="Hyperlink 3 2" xfId="638"/>
    <cellStyle name="Hyperlink 4" xfId="238"/>
    <cellStyle name="Hyperlink Arrow" xfId="239"/>
    <cellStyle name="Hyperlink Text" xfId="240"/>
    <cellStyle name="import" xfId="241"/>
    <cellStyle name="import%" xfId="242"/>
    <cellStyle name="import_ICRC Electricity model 1-1  (1 Feb 2003) " xfId="40"/>
    <cellStyle name="Input" xfId="10" builtinId="20"/>
    <cellStyle name="Input 2" xfId="243"/>
    <cellStyle name="Input 2 2" xfId="244"/>
    <cellStyle name="Input 2 2 2" xfId="639"/>
    <cellStyle name="Input 2 2 2 2" xfId="640"/>
    <cellStyle name="Input 2 2 3" xfId="641"/>
    <cellStyle name="Input 2 2 3 2" xfId="642"/>
    <cellStyle name="Input 2 2 4" xfId="643"/>
    <cellStyle name="Input 2 2 5" xfId="644"/>
    <cellStyle name="Input 2 3" xfId="245"/>
    <cellStyle name="Input 2 3 2" xfId="645"/>
    <cellStyle name="Input 2 3 2 2" xfId="646"/>
    <cellStyle name="Input 2 3 3" xfId="647"/>
    <cellStyle name="Input 2 3 3 2" xfId="648"/>
    <cellStyle name="Input 2 3 4" xfId="649"/>
    <cellStyle name="Input 2 3 5" xfId="650"/>
    <cellStyle name="Input 2 4" xfId="651"/>
    <cellStyle name="Input 2 4 2" xfId="652"/>
    <cellStyle name="Input 2 4 2 2" xfId="653"/>
    <cellStyle name="Input 2 4 3" xfId="654"/>
    <cellStyle name="Input 2 4 3 2" xfId="655"/>
    <cellStyle name="Input 2 4 4" xfId="656"/>
    <cellStyle name="Input 2 5" xfId="657"/>
    <cellStyle name="Input 2 5 2" xfId="658"/>
    <cellStyle name="Input 2 5 2 2" xfId="659"/>
    <cellStyle name="Input 2 5 3" xfId="660"/>
    <cellStyle name="Input 2 5 3 2" xfId="661"/>
    <cellStyle name="Input 2 5 4" xfId="662"/>
    <cellStyle name="Input 2 6" xfId="663"/>
    <cellStyle name="Input 2 7" xfId="664"/>
    <cellStyle name="Input1" xfId="42"/>
    <cellStyle name="Input1 2" xfId="246"/>
    <cellStyle name="Input1 2 2" xfId="247"/>
    <cellStyle name="Input1 2 3" xfId="665"/>
    <cellStyle name="Input1 3" xfId="248"/>
    <cellStyle name="Input1 3 2" xfId="249"/>
    <cellStyle name="Input1 3 3" xfId="666"/>
    <cellStyle name="Input1 4" xfId="250"/>
    <cellStyle name="Input1 4 2" xfId="667"/>
    <cellStyle name="Input1 5" xfId="251"/>
    <cellStyle name="Input1 6" xfId="668"/>
    <cellStyle name="Input1%" xfId="252"/>
    <cellStyle name="Input1_ICRC Electricity model 1-1  (1 Feb 2003) " xfId="253"/>
    <cellStyle name="Input1default" xfId="254"/>
    <cellStyle name="Input1default%" xfId="255"/>
    <cellStyle name="Input2" xfId="256"/>
    <cellStyle name="Input2 2" xfId="257"/>
    <cellStyle name="Input2 3" xfId="258"/>
    <cellStyle name="Input3" xfId="259"/>
    <cellStyle name="Input3 2" xfId="260"/>
    <cellStyle name="Input3 2 2" xfId="669"/>
    <cellStyle name="Input3 3" xfId="261"/>
    <cellStyle name="Input3 3 2" xfId="670"/>
    <cellStyle name="Input3 4" xfId="671"/>
    <cellStyle name="Input3 5" xfId="672"/>
    <cellStyle name="InputCell" xfId="262"/>
    <cellStyle name="InputCell 2" xfId="263"/>
    <cellStyle name="InputCell 3" xfId="264"/>
    <cellStyle name="InputCellText" xfId="265"/>
    <cellStyle name="InputCellText 2" xfId="266"/>
    <cellStyle name="InputCellText 3" xfId="267"/>
    <cellStyle name="key result" xfId="268"/>
    <cellStyle name="Lines" xfId="269"/>
    <cellStyle name="Linked Cell 2" xfId="270"/>
    <cellStyle name="Local import" xfId="271"/>
    <cellStyle name="Local import %" xfId="272"/>
    <cellStyle name="Mine" xfId="273"/>
    <cellStyle name="Model Name" xfId="274"/>
    <cellStyle name="Neutral 2" xfId="275"/>
    <cellStyle name="NonInputCell" xfId="276"/>
    <cellStyle name="NonInputCell 2" xfId="277"/>
    <cellStyle name="NonInputCell 3" xfId="278"/>
    <cellStyle name="Normal" xfId="0" builtinId="0"/>
    <cellStyle name="Normal - Style1" xfId="279"/>
    <cellStyle name="Normal 10" xfId="43"/>
    <cellStyle name="Normal 10 2" xfId="280"/>
    <cellStyle name="Normal 10 2 2 2" xfId="562"/>
    <cellStyle name="Normal 10 2 2 2 7" xfId="918"/>
    <cellStyle name="Normal 11" xfId="281"/>
    <cellStyle name="Normal 11 2" xfId="282"/>
    <cellStyle name="Normal 11 3" xfId="283"/>
    <cellStyle name="Normal 11 4" xfId="284"/>
    <cellStyle name="Normal 114" xfId="38"/>
    <cellStyle name="Normal 114 2" xfId="285"/>
    <cellStyle name="Normal 12" xfId="286"/>
    <cellStyle name="Normal 12 2" xfId="287"/>
    <cellStyle name="Normal 13" xfId="288"/>
    <cellStyle name="Normal 13 2" xfId="37"/>
    <cellStyle name="Normal 13_29(d) - Gas extensions -tariffs" xfId="289"/>
    <cellStyle name="Normal 14" xfId="46"/>
    <cellStyle name="Normal 14 2" xfId="290"/>
    <cellStyle name="Normal 14 2 2" xfId="673"/>
    <cellStyle name="Normal 14 3" xfId="291"/>
    <cellStyle name="Normal 14 3 2" xfId="292"/>
    <cellStyle name="Normal 14 3 3" xfId="293"/>
    <cellStyle name="Normal 14 4" xfId="294"/>
    <cellStyle name="Normal 14 5" xfId="295"/>
    <cellStyle name="Normal 14 9" xfId="920"/>
    <cellStyle name="Normal 14 9 2" xfId="921"/>
    <cellStyle name="Normal 143" xfId="674"/>
    <cellStyle name="Normal 144" xfId="675"/>
    <cellStyle name="Normal 147" xfId="676"/>
    <cellStyle name="Normal 148" xfId="677"/>
    <cellStyle name="Normal 149" xfId="678"/>
    <cellStyle name="Normal 15" xfId="296"/>
    <cellStyle name="Normal 15 2" xfId="297"/>
    <cellStyle name="Normal 15 3" xfId="679"/>
    <cellStyle name="Normal 150" xfId="680"/>
    <cellStyle name="Normal 151" xfId="681"/>
    <cellStyle name="Normal 152" xfId="682"/>
    <cellStyle name="Normal 153" xfId="683"/>
    <cellStyle name="Normal 154" xfId="684"/>
    <cellStyle name="Normal 155" xfId="685"/>
    <cellStyle name="Normal 156" xfId="686"/>
    <cellStyle name="Normal 159" xfId="916"/>
    <cellStyle name="Normal 16" xfId="298"/>
    <cellStyle name="Normal 16 2" xfId="299"/>
    <cellStyle name="Normal 16 3" xfId="687"/>
    <cellStyle name="Normal 161" xfId="688"/>
    <cellStyle name="Normal 162" xfId="689"/>
    <cellStyle name="Normal 163" xfId="690"/>
    <cellStyle name="Normal 164" xfId="691"/>
    <cellStyle name="Normal 169" xfId="692"/>
    <cellStyle name="Normal 17" xfId="300"/>
    <cellStyle name="Normal 17 2" xfId="301"/>
    <cellStyle name="Normal 17 2 2" xfId="302"/>
    <cellStyle name="Normal 17 2 2 2" xfId="303"/>
    <cellStyle name="Normal 17 2 2 3" xfId="304"/>
    <cellStyle name="Normal 17 2 3" xfId="305"/>
    <cellStyle name="Normal 17 2 4" xfId="306"/>
    <cellStyle name="Normal 17 3" xfId="307"/>
    <cellStyle name="Normal 17 3 2" xfId="308"/>
    <cellStyle name="Normal 17 3 2 2" xfId="309"/>
    <cellStyle name="Normal 17 3 2 3" xfId="310"/>
    <cellStyle name="Normal 17 3 3" xfId="311"/>
    <cellStyle name="Normal 17 3 4" xfId="312"/>
    <cellStyle name="Normal 17 4" xfId="313"/>
    <cellStyle name="Normal 17 4 2" xfId="314"/>
    <cellStyle name="Normal 17 4 3" xfId="315"/>
    <cellStyle name="Normal 17 5" xfId="316"/>
    <cellStyle name="Normal 17 6" xfId="317"/>
    <cellStyle name="Normal 170" xfId="693"/>
    <cellStyle name="Normal 171" xfId="694"/>
    <cellStyle name="Normal 172" xfId="695"/>
    <cellStyle name="Normal 177" xfId="696"/>
    <cellStyle name="Normal 178" xfId="697"/>
    <cellStyle name="Normal 179" xfId="698"/>
    <cellStyle name="Normal 18" xfId="318"/>
    <cellStyle name="Normal 18 2" xfId="319"/>
    <cellStyle name="Normal 180" xfId="699"/>
    <cellStyle name="Normal 181" xfId="700"/>
    <cellStyle name="Normal 182" xfId="701"/>
    <cellStyle name="Normal 183" xfId="702"/>
    <cellStyle name="Normal 184" xfId="703"/>
    <cellStyle name="Normal 185" xfId="704"/>
    <cellStyle name="Normal 186" xfId="705"/>
    <cellStyle name="Normal 187" xfId="706"/>
    <cellStyle name="Normal 188" xfId="707"/>
    <cellStyle name="Normal 189" xfId="708"/>
    <cellStyle name="Normal 19" xfId="320"/>
    <cellStyle name="Normal 190" xfId="709"/>
    <cellStyle name="Normal 192" xfId="710"/>
    <cellStyle name="Normal 193" xfId="711"/>
    <cellStyle name="Normal 196" xfId="712"/>
    <cellStyle name="Normal 197" xfId="713"/>
    <cellStyle name="Normal 198" xfId="714"/>
    <cellStyle name="Normal 199" xfId="715"/>
    <cellStyle name="Normal 2" xfId="6"/>
    <cellStyle name="Normal 2 2" xfId="322"/>
    <cellStyle name="Normal 2 2 2" xfId="41"/>
    <cellStyle name="Normal 2 2 3" xfId="323"/>
    <cellStyle name="Normal 2 2 4" xfId="324"/>
    <cellStyle name="Normal 2 2 5" xfId="325"/>
    <cellStyle name="Normal 2 3" xfId="326"/>
    <cellStyle name="Normal 2 3 2" xfId="327"/>
    <cellStyle name="Normal 2 3_29(d) - Gas extensions -tariffs" xfId="328"/>
    <cellStyle name="Normal 2 4" xfId="329"/>
    <cellStyle name="Normal 2 4 2" xfId="330"/>
    <cellStyle name="Normal 2 4 3" xfId="331"/>
    <cellStyle name="Normal 2 5" xfId="48"/>
    <cellStyle name="Normal 2 6" xfId="321"/>
    <cellStyle name="Normal 2_29(d) - Gas extensions -tariffs" xfId="332"/>
    <cellStyle name="Normal 20" xfId="333"/>
    <cellStyle name="Normal 20 2" xfId="334"/>
    <cellStyle name="Normal 20 2 2" xfId="335"/>
    <cellStyle name="Normal 20 3" xfId="336"/>
    <cellStyle name="Normal 20 4" xfId="337"/>
    <cellStyle name="Normal 20 5" xfId="716"/>
    <cellStyle name="Normal 200" xfId="717"/>
    <cellStyle name="Normal 201" xfId="718"/>
    <cellStyle name="Normal 202" xfId="719"/>
    <cellStyle name="Normal 203" xfId="720"/>
    <cellStyle name="Normal 204" xfId="721"/>
    <cellStyle name="Normal 205" xfId="722"/>
    <cellStyle name="Normal 207" xfId="723"/>
    <cellStyle name="Normal 208" xfId="724"/>
    <cellStyle name="Normal 209" xfId="725"/>
    <cellStyle name="Normal 21" xfId="338"/>
    <cellStyle name="Normal 21 2" xfId="339"/>
    <cellStyle name="Normal 21 3" xfId="340"/>
    <cellStyle name="Normal 210" xfId="726"/>
    <cellStyle name="Normal 211" xfId="727"/>
    <cellStyle name="Normal 212" xfId="728"/>
    <cellStyle name="Normal 213" xfId="729"/>
    <cellStyle name="Normal 214" xfId="730"/>
    <cellStyle name="Normal 215" xfId="731"/>
    <cellStyle name="Normal 216" xfId="732"/>
    <cellStyle name="Normal 22" xfId="341"/>
    <cellStyle name="Normal 23" xfId="342"/>
    <cellStyle name="Normal 23 2" xfId="343"/>
    <cellStyle name="Normal 23 2 2" xfId="344"/>
    <cellStyle name="Normal 23 3" xfId="345"/>
    <cellStyle name="Normal 23 4" xfId="346"/>
    <cellStyle name="Normal 24" xfId="347"/>
    <cellStyle name="Normal 24 2" xfId="348"/>
    <cellStyle name="Normal 24 2 2" xfId="349"/>
    <cellStyle name="Normal 24 3" xfId="350"/>
    <cellStyle name="Normal 24 4" xfId="351"/>
    <cellStyle name="Normal 25" xfId="352"/>
    <cellStyle name="Normal 25 2" xfId="353"/>
    <cellStyle name="Normal 25 2 2" xfId="354"/>
    <cellStyle name="Normal 25 3" xfId="355"/>
    <cellStyle name="Normal 25 4" xfId="356"/>
    <cellStyle name="Normal 26" xfId="357"/>
    <cellStyle name="Normal 26 2" xfId="358"/>
    <cellStyle name="Normal 26 2 2" xfId="359"/>
    <cellStyle name="Normal 26 3" xfId="360"/>
    <cellStyle name="Normal 26 4" xfId="361"/>
    <cellStyle name="Normal 27" xfId="362"/>
    <cellStyle name="Normal 28" xfId="44"/>
    <cellStyle name="Normal 28 4" xfId="919"/>
    <cellStyle name="Normal 29" xfId="363"/>
    <cellStyle name="Normal 3" xfId="2"/>
    <cellStyle name="Normal 3 2" xfId="8"/>
    <cellStyle name="Normal 3 3" xfId="364"/>
    <cellStyle name="Normal 3 3 2" xfId="365"/>
    <cellStyle name="Normal 3 3 3" xfId="366"/>
    <cellStyle name="Normal 3 4" xfId="367"/>
    <cellStyle name="Normal 3 5" xfId="368"/>
    <cellStyle name="Normal 3 5 2" xfId="369"/>
    <cellStyle name="Normal 3 5 3" xfId="370"/>
    <cellStyle name="Normal 3_29(d) - Gas extensions -tariffs" xfId="371"/>
    <cellStyle name="Normal 30" xfId="372"/>
    <cellStyle name="Normal 31" xfId="373"/>
    <cellStyle name="Normal 32" xfId="50"/>
    <cellStyle name="Normal 32 3" xfId="917"/>
    <cellStyle name="Normal 33" xfId="374"/>
    <cellStyle name="Normal 34" xfId="375"/>
    <cellStyle name="Normal 34 2" xfId="733"/>
    <cellStyle name="Normal 35" xfId="581"/>
    <cellStyle name="Normal 36" xfId="582"/>
    <cellStyle name="Normal 37" xfId="583"/>
    <cellStyle name="Normal 37 2" xfId="734"/>
    <cellStyle name="Normal 38" xfId="376"/>
    <cellStyle name="Normal 38 2" xfId="377"/>
    <cellStyle name="Normal 38_29(d) - Gas extensions -tariffs" xfId="378"/>
    <cellStyle name="Normal 39" xfId="735"/>
    <cellStyle name="Normal 4" xfId="47"/>
    <cellStyle name="Normal 4 2" xfId="379"/>
    <cellStyle name="Normal 4 2 2" xfId="380"/>
    <cellStyle name="Normal 4 2 2 2" xfId="381"/>
    <cellStyle name="Normal 4 2 2 2 2" xfId="382"/>
    <cellStyle name="Normal 4 2 2 2 3" xfId="383"/>
    <cellStyle name="Normal 4 2 2 3" xfId="384"/>
    <cellStyle name="Normal 4 2 2 4" xfId="385"/>
    <cellStyle name="Normal 4 2 3" xfId="386"/>
    <cellStyle name="Normal 4 2 3 2" xfId="387"/>
    <cellStyle name="Normal 4 2 3 2 2" xfId="388"/>
    <cellStyle name="Normal 4 2 3 2 3" xfId="389"/>
    <cellStyle name="Normal 4 2 3 3" xfId="390"/>
    <cellStyle name="Normal 4 2 3 4" xfId="391"/>
    <cellStyle name="Normal 4 3" xfId="392"/>
    <cellStyle name="Normal 4 3 2" xfId="393"/>
    <cellStyle name="Normal 4 3 2 2" xfId="394"/>
    <cellStyle name="Normal 4 3 2 3" xfId="395"/>
    <cellStyle name="Normal 4 3 3" xfId="396"/>
    <cellStyle name="Normal 4 3 3 2" xfId="397"/>
    <cellStyle name="Normal 4 3 4" xfId="398"/>
    <cellStyle name="Normal 4 3 5" xfId="736"/>
    <cellStyle name="Normal 4 4" xfId="399"/>
    <cellStyle name="Normal 4 5" xfId="400"/>
    <cellStyle name="Normal 4 6" xfId="401"/>
    <cellStyle name="Normal 4_29(d) - Gas extensions -tariffs" xfId="402"/>
    <cellStyle name="Normal 40" xfId="403"/>
    <cellStyle name="Normal 40 2" xfId="404"/>
    <cellStyle name="Normal 40_29(d) - Gas extensions -tariffs" xfId="405"/>
    <cellStyle name="Normal 41" xfId="922"/>
    <cellStyle name="Normal 41 2" xfId="923"/>
    <cellStyle name="Normal 5" xfId="49"/>
    <cellStyle name="Normal 5 2" xfId="406"/>
    <cellStyle name="Normal 5 2 2" xfId="737"/>
    <cellStyle name="Normal 5 3" xfId="407"/>
    <cellStyle name="Normal 6" xfId="408"/>
    <cellStyle name="Normal 6 2" xfId="409"/>
    <cellStyle name="Normal 6 2 2" xfId="410"/>
    <cellStyle name="Normal 7" xfId="411"/>
    <cellStyle name="Normal 7 2" xfId="412"/>
    <cellStyle name="Normal 7 2 2" xfId="413"/>
    <cellStyle name="Normal 7 2 2 2" xfId="414"/>
    <cellStyle name="Normal 7 2 2 3" xfId="415"/>
    <cellStyle name="Normal 7 2 3" xfId="416"/>
    <cellStyle name="Normal 7 2 4" xfId="417"/>
    <cellStyle name="Normal 7 3" xfId="738"/>
    <cellStyle name="Normal 8" xfId="418"/>
    <cellStyle name="Normal 8 2" xfId="419"/>
    <cellStyle name="Normal 8 2 2" xfId="420"/>
    <cellStyle name="Normal 8 2 3" xfId="421"/>
    <cellStyle name="Normal 8 2 3 2" xfId="422"/>
    <cellStyle name="Normal 8 2 3 3" xfId="423"/>
    <cellStyle name="Normal 8 2 4" xfId="424"/>
    <cellStyle name="Normal 9" xfId="425"/>
    <cellStyle name="Normal 9 2" xfId="426"/>
    <cellStyle name="Note 2" xfId="427"/>
    <cellStyle name="Note 2 2" xfId="428"/>
    <cellStyle name="Note 2 2 2" xfId="739"/>
    <cellStyle name="Note 2 2 2 2" xfId="740"/>
    <cellStyle name="Note 2 2 2 3" xfId="741"/>
    <cellStyle name="Note 2 2 3" xfId="742"/>
    <cellStyle name="Note 2 2 4" xfId="743"/>
    <cellStyle name="Note 2 2 5" xfId="744"/>
    <cellStyle name="Note 2 3" xfId="429"/>
    <cellStyle name="Note 2 3 2" xfId="745"/>
    <cellStyle name="Note 2 3 2 2" xfId="746"/>
    <cellStyle name="Note 2 3 2 3" xfId="747"/>
    <cellStyle name="Note 2 3 3" xfId="748"/>
    <cellStyle name="Note 2 3 4" xfId="749"/>
    <cellStyle name="Note 2 3 5" xfId="750"/>
    <cellStyle name="Note 2 4" xfId="751"/>
    <cellStyle name="Note 2 4 2" xfId="752"/>
    <cellStyle name="Note 2 4 2 2" xfId="753"/>
    <cellStyle name="Note 2 4 2 3" xfId="754"/>
    <cellStyle name="Note 2 4 3" xfId="755"/>
    <cellStyle name="Note 2 4 4" xfId="756"/>
    <cellStyle name="Note 2 5" xfId="757"/>
    <cellStyle name="Note 2 5 2" xfId="758"/>
    <cellStyle name="Note 2 5 2 2" xfId="759"/>
    <cellStyle name="Note 2 5 2 3" xfId="760"/>
    <cellStyle name="Note 2 5 3" xfId="761"/>
    <cellStyle name="Note 2 5 4" xfId="762"/>
    <cellStyle name="Note 2 6" xfId="763"/>
    <cellStyle name="Note 2 6 2" xfId="764"/>
    <cellStyle name="Note 2 6 2 2" xfId="765"/>
    <cellStyle name="Note 2 6 2 3" xfId="766"/>
    <cellStyle name="Note 2 6 3" xfId="767"/>
    <cellStyle name="Note 2 6 4" xfId="768"/>
    <cellStyle name="Note 2 7" xfId="769"/>
    <cellStyle name="Note 2 8" xfId="770"/>
    <cellStyle name="Note 2 9" xfId="771"/>
    <cellStyle name="Note 3" xfId="430"/>
    <cellStyle name="Note 3 2" xfId="431"/>
    <cellStyle name="Note 3 2 2" xfId="772"/>
    <cellStyle name="Note 3 3" xfId="432"/>
    <cellStyle name="Note 3 3 2" xfId="773"/>
    <cellStyle name="Note 3 4" xfId="774"/>
    <cellStyle name="Note 4" xfId="433"/>
    <cellStyle name="Note 4 2" xfId="434"/>
    <cellStyle name="Note 4 2 2" xfId="775"/>
    <cellStyle name="Note 4 3" xfId="435"/>
    <cellStyle name="Note 4 3 2" xfId="776"/>
    <cellStyle name="Note 4 4" xfId="777"/>
    <cellStyle name="Output 2" xfId="436"/>
    <cellStyle name="Output 2 10" xfId="778"/>
    <cellStyle name="Output 2 11" xfId="779"/>
    <cellStyle name="Output 2 12" xfId="780"/>
    <cellStyle name="Output 2 2" xfId="437"/>
    <cellStyle name="Output 2 2 2" xfId="781"/>
    <cellStyle name="Output 2 2 2 2" xfId="782"/>
    <cellStyle name="Output 2 2 2 3" xfId="783"/>
    <cellStyle name="Output 2 2 3" xfId="784"/>
    <cellStyle name="Output 2 2 3 2" xfId="785"/>
    <cellStyle name="Output 2 2 3 3" xfId="786"/>
    <cellStyle name="Output 2 2 4" xfId="787"/>
    <cellStyle name="Output 2 2 5" xfId="788"/>
    <cellStyle name="Output 2 2 6" xfId="789"/>
    <cellStyle name="Output 2 3" xfId="438"/>
    <cellStyle name="Output 2 3 2" xfId="790"/>
    <cellStyle name="Output 2 3 2 2" xfId="791"/>
    <cellStyle name="Output 2 3 2 3" xfId="792"/>
    <cellStyle name="Output 2 3 3" xfId="793"/>
    <cellStyle name="Output 2 3 3 2" xfId="794"/>
    <cellStyle name="Output 2 3 3 3" xfId="795"/>
    <cellStyle name="Output 2 3 4" xfId="796"/>
    <cellStyle name="Output 2 3 5" xfId="797"/>
    <cellStyle name="Output 2 3 6" xfId="798"/>
    <cellStyle name="Output 2 4" xfId="799"/>
    <cellStyle name="Output 2 4 2" xfId="800"/>
    <cellStyle name="Output 2 4 2 2" xfId="801"/>
    <cellStyle name="Output 2 4 2 3" xfId="802"/>
    <cellStyle name="Output 2 4 3" xfId="803"/>
    <cellStyle name="Output 2 4 3 2" xfId="804"/>
    <cellStyle name="Output 2 4 3 3" xfId="805"/>
    <cellStyle name="Output 2 4 4" xfId="806"/>
    <cellStyle name="Output 2 4 5" xfId="807"/>
    <cellStyle name="Output 2 5" xfId="808"/>
    <cellStyle name="Output 2 5 2" xfId="809"/>
    <cellStyle name="Output 2 5 2 2" xfId="810"/>
    <cellStyle name="Output 2 5 2 3" xfId="811"/>
    <cellStyle name="Output 2 5 3" xfId="812"/>
    <cellStyle name="Output 2 5 3 2" xfId="813"/>
    <cellStyle name="Output 2 5 3 3" xfId="814"/>
    <cellStyle name="Output 2 5 4" xfId="815"/>
    <cellStyle name="Output 2 5 5" xfId="816"/>
    <cellStyle name="Output 2 6" xfId="817"/>
    <cellStyle name="Output 2 6 2" xfId="818"/>
    <cellStyle name="Output 2 6 2 2" xfId="819"/>
    <cellStyle name="Output 2 6 2 3" xfId="820"/>
    <cellStyle name="Output 2 6 3" xfId="821"/>
    <cellStyle name="Output 2 6 3 2" xfId="822"/>
    <cellStyle name="Output 2 6 3 3" xfId="823"/>
    <cellStyle name="Output 2 6 4" xfId="824"/>
    <cellStyle name="Output 2 6 5" xfId="825"/>
    <cellStyle name="Output 2 7" xfId="826"/>
    <cellStyle name="Output 2 7 2" xfId="827"/>
    <cellStyle name="Output 2 7 2 2" xfId="828"/>
    <cellStyle name="Output 2 7 2 3" xfId="829"/>
    <cellStyle name="Output 2 7 3" xfId="830"/>
    <cellStyle name="Output 2 7 3 2" xfId="831"/>
    <cellStyle name="Output 2 7 3 3" xfId="832"/>
    <cellStyle name="Output 2 7 4" xfId="833"/>
    <cellStyle name="Output 2 7 5" xfId="834"/>
    <cellStyle name="Output 2 8" xfId="835"/>
    <cellStyle name="Output 2 8 2" xfId="836"/>
    <cellStyle name="Output 2 8 3" xfId="837"/>
    <cellStyle name="Output 2 9" xfId="838"/>
    <cellStyle name="Output 2 9 2" xfId="839"/>
    <cellStyle name="Output 2 9 3" xfId="840"/>
    <cellStyle name="Percent" xfId="1" builtinId="5"/>
    <cellStyle name="Percent [2]" xfId="439"/>
    <cellStyle name="Percent [2] 2" xfId="440"/>
    <cellStyle name="Percent [2]_29(d) - Gas extensions -tariffs" xfId="441"/>
    <cellStyle name="Percent 10" xfId="584"/>
    <cellStyle name="Percent 11" xfId="585"/>
    <cellStyle name="Percent 12" xfId="442"/>
    <cellStyle name="Percent 12 2" xfId="443"/>
    <cellStyle name="Percent 12 2 2" xfId="444"/>
    <cellStyle name="Percent 12 3" xfId="445"/>
    <cellStyle name="Percent 12 4" xfId="446"/>
    <cellStyle name="Percent 2" xfId="7"/>
    <cellStyle name="Percent 2 2" xfId="447"/>
    <cellStyle name="Percent 2 2 2" xfId="448"/>
    <cellStyle name="Percent 2 2 2 2" xfId="449"/>
    <cellStyle name="Percent 2 2 2 2 2" xfId="450"/>
    <cellStyle name="Percent 2 2 2 2 3" xfId="451"/>
    <cellStyle name="Percent 2 2 2 3" xfId="452"/>
    <cellStyle name="Percent 2 2 2 4" xfId="453"/>
    <cellStyle name="Percent 2 2 3" xfId="454"/>
    <cellStyle name="Percent 2 2 3 2" xfId="455"/>
    <cellStyle name="Percent 2 2 3 2 2" xfId="456"/>
    <cellStyle name="Percent 2 2 3 2 3" xfId="457"/>
    <cellStyle name="Percent 2 2 3 3" xfId="458"/>
    <cellStyle name="Percent 2 2 3 4" xfId="459"/>
    <cellStyle name="Percent 2 3" xfId="460"/>
    <cellStyle name="Percent 2 3 2" xfId="461"/>
    <cellStyle name="Percent 2 3 2 2" xfId="462"/>
    <cellStyle name="Percent 2 3 2 3" xfId="463"/>
    <cellStyle name="Percent 2 3 3" xfId="464"/>
    <cellStyle name="Percent 2 3 4" xfId="465"/>
    <cellStyle name="Percent 2 4" xfId="466"/>
    <cellStyle name="Percent 2 4 2" xfId="467"/>
    <cellStyle name="Percent 2 4 2 2" xfId="468"/>
    <cellStyle name="Percent 2 4 2 3" xfId="469"/>
    <cellStyle name="Percent 2 4 3" xfId="470"/>
    <cellStyle name="Percent 2 4 4" xfId="471"/>
    <cellStyle name="Percent 3" xfId="472"/>
    <cellStyle name="Percent 3 2" xfId="473"/>
    <cellStyle name="Percent 3 3" xfId="841"/>
    <cellStyle name="Percent 3 4" xfId="474"/>
    <cellStyle name="Percent 3 4 2" xfId="475"/>
    <cellStyle name="Percent 3 4 3" xfId="476"/>
    <cellStyle name="Percent 4" xfId="477"/>
    <cellStyle name="Percent 4 2" xfId="842"/>
    <cellStyle name="Percent 5" xfId="478"/>
    <cellStyle name="Percent 5 2" xfId="479"/>
    <cellStyle name="Percent 5 3" xfId="480"/>
    <cellStyle name="Percent 6" xfId="481"/>
    <cellStyle name="Percent 7" xfId="482"/>
    <cellStyle name="Percent 8" xfId="483"/>
    <cellStyle name="Percent 9" xfId="586"/>
    <cellStyle name="Percentage" xfId="484"/>
    <cellStyle name="Period Title" xfId="485"/>
    <cellStyle name="PSChar" xfId="486"/>
    <cellStyle name="PSDate" xfId="487"/>
    <cellStyle name="PSDec" xfId="488"/>
    <cellStyle name="PSDetail" xfId="489"/>
    <cellStyle name="PSDetail 2" xfId="843"/>
    <cellStyle name="PSHeading" xfId="490"/>
    <cellStyle name="PSHeading 2" xfId="491"/>
    <cellStyle name="PSHeading 2 2" xfId="492"/>
    <cellStyle name="PSHeading 2 2 2" xfId="587"/>
    <cellStyle name="PSHeading 2 3" xfId="588"/>
    <cellStyle name="PSHeading 3" xfId="493"/>
    <cellStyle name="PSHeading 3 2" xfId="494"/>
    <cellStyle name="PSHeading 3 2 2" xfId="495"/>
    <cellStyle name="PSHeading 3 2 2 2" xfId="589"/>
    <cellStyle name="PSHeading 3 2 3" xfId="590"/>
    <cellStyle name="PSHeading 3 3" xfId="591"/>
    <cellStyle name="PSHeading 4" xfId="496"/>
    <cellStyle name="PSHeading 4 2" xfId="592"/>
    <cellStyle name="PSHeading 5" xfId="593"/>
    <cellStyle name="PSInt" xfId="497"/>
    <cellStyle name="PSSpacer" xfId="498"/>
    <cellStyle name="Ratio" xfId="499"/>
    <cellStyle name="Ratio 2" xfId="500"/>
    <cellStyle name="Ratio_29(d) - Gas extensions -tariffs" xfId="501"/>
    <cellStyle name="Right Date" xfId="502"/>
    <cellStyle name="Right Number" xfId="503"/>
    <cellStyle name="Right Year" xfId="504"/>
    <cellStyle name="RIN_Input$_3dp" xfId="505"/>
    <cellStyle name="SAPError" xfId="506"/>
    <cellStyle name="SAPError 2" xfId="507"/>
    <cellStyle name="SAPKey" xfId="508"/>
    <cellStyle name="SAPKey 2" xfId="509"/>
    <cellStyle name="SAPLocked" xfId="510"/>
    <cellStyle name="SAPLocked 2" xfId="511"/>
    <cellStyle name="SAPOutput" xfId="512"/>
    <cellStyle name="SAPOutput 2" xfId="513"/>
    <cellStyle name="SAPSpace" xfId="514"/>
    <cellStyle name="SAPSpace 2" xfId="515"/>
    <cellStyle name="SAPText" xfId="516"/>
    <cellStyle name="SAPText 2" xfId="517"/>
    <cellStyle name="SAPUnLocked" xfId="518"/>
    <cellStyle name="SAPUnLocked 2" xfId="519"/>
    <cellStyle name="Sheet Title" xfId="520"/>
    <cellStyle name="SheetHeader1" xfId="521"/>
    <cellStyle name="Style 1" xfId="522"/>
    <cellStyle name="Style 1 2" xfId="523"/>
    <cellStyle name="Style 1 2 2" xfId="524"/>
    <cellStyle name="Style 1 3" xfId="525"/>
    <cellStyle name="Style 1 3 2" xfId="526"/>
    <cellStyle name="Style 1 3 3" xfId="527"/>
    <cellStyle name="Style 1 4" xfId="528"/>
    <cellStyle name="Style 1_29(d) - Gas extensions -tariffs" xfId="529"/>
    <cellStyle name="Style2" xfId="530"/>
    <cellStyle name="Style3" xfId="531"/>
    <cellStyle name="Style4" xfId="532"/>
    <cellStyle name="Style4 2" xfId="533"/>
    <cellStyle name="Style4_29(d) - Gas extensions -tariffs" xfId="534"/>
    <cellStyle name="Style5" xfId="535"/>
    <cellStyle name="Style5 2" xfId="536"/>
    <cellStyle name="Style5_29(d) - Gas extensions -tariffs" xfId="537"/>
    <cellStyle name="Table Head Green" xfId="538"/>
    <cellStyle name="Table Head Green 2" xfId="844"/>
    <cellStyle name="Table Head Green 2 2" xfId="845"/>
    <cellStyle name="Table Head Green 3" xfId="846"/>
    <cellStyle name="Table Head Green 4" xfId="847"/>
    <cellStyle name="Table Head_pldt" xfId="539"/>
    <cellStyle name="Table Source" xfId="540"/>
    <cellStyle name="Table Units" xfId="541"/>
    <cellStyle name="Table Units 2" xfId="848"/>
    <cellStyle name="TableLvl2" xfId="542"/>
    <cellStyle name="TableLvl3" xfId="543"/>
    <cellStyle name="Text" xfId="544"/>
    <cellStyle name="Text 2" xfId="545"/>
    <cellStyle name="Text 3" xfId="546"/>
    <cellStyle name="Text Head 1" xfId="547"/>
    <cellStyle name="Text Head 1 2" xfId="849"/>
    <cellStyle name="Text Head 2" xfId="548"/>
    <cellStyle name="Text Head 2 2" xfId="850"/>
    <cellStyle name="Text Indent 2" xfId="549"/>
    <cellStyle name="Theirs" xfId="550"/>
    <cellStyle name="Title 2" xfId="551"/>
    <cellStyle name="TOC 1" xfId="552"/>
    <cellStyle name="TOC 2" xfId="553"/>
    <cellStyle name="TOC 3" xfId="554"/>
    <cellStyle name="Total 2" xfId="555"/>
    <cellStyle name="Total 2 10" xfId="851"/>
    <cellStyle name="Total 2 11" xfId="852"/>
    <cellStyle name="Total 2 12" xfId="853"/>
    <cellStyle name="Total 2 2" xfId="556"/>
    <cellStyle name="Total 2 2 2" xfId="854"/>
    <cellStyle name="Total 2 2 2 2" xfId="855"/>
    <cellStyle name="Total 2 2 2 3" xfId="856"/>
    <cellStyle name="Total 2 2 3" xfId="857"/>
    <cellStyle name="Total 2 2 3 2" xfId="858"/>
    <cellStyle name="Total 2 2 3 3" xfId="859"/>
    <cellStyle name="Total 2 2 4" xfId="860"/>
    <cellStyle name="Total 2 2 5" xfId="861"/>
    <cellStyle name="Total 2 2 6" xfId="862"/>
    <cellStyle name="Total 2 3" xfId="557"/>
    <cellStyle name="Total 2 3 2" xfId="863"/>
    <cellStyle name="Total 2 3 2 2" xfId="864"/>
    <cellStyle name="Total 2 3 2 3" xfId="865"/>
    <cellStyle name="Total 2 3 3" xfId="866"/>
    <cellStyle name="Total 2 3 3 2" xfId="867"/>
    <cellStyle name="Total 2 3 3 3" xfId="868"/>
    <cellStyle name="Total 2 3 4" xfId="869"/>
    <cellStyle name="Total 2 3 5" xfId="870"/>
    <cellStyle name="Total 2 3 6" xfId="871"/>
    <cellStyle name="Total 2 4" xfId="872"/>
    <cellStyle name="Total 2 4 2" xfId="873"/>
    <cellStyle name="Total 2 4 2 2" xfId="874"/>
    <cellStyle name="Total 2 4 2 3" xfId="875"/>
    <cellStyle name="Total 2 4 3" xfId="876"/>
    <cellStyle name="Total 2 4 3 2" xfId="877"/>
    <cellStyle name="Total 2 4 3 3" xfId="878"/>
    <cellStyle name="Total 2 4 4" xfId="879"/>
    <cellStyle name="Total 2 4 5" xfId="880"/>
    <cellStyle name="Total 2 5" xfId="881"/>
    <cellStyle name="Total 2 5 2" xfId="882"/>
    <cellStyle name="Total 2 5 2 2" xfId="883"/>
    <cellStyle name="Total 2 5 2 3" xfId="884"/>
    <cellStyle name="Total 2 5 3" xfId="885"/>
    <cellStyle name="Total 2 5 3 2" xfId="886"/>
    <cellStyle name="Total 2 5 3 3" xfId="887"/>
    <cellStyle name="Total 2 5 4" xfId="888"/>
    <cellStyle name="Total 2 5 5" xfId="889"/>
    <cellStyle name="Total 2 6" xfId="890"/>
    <cellStyle name="Total 2 6 2" xfId="891"/>
    <cellStyle name="Total 2 6 2 2" xfId="892"/>
    <cellStyle name="Total 2 6 2 3" xfId="893"/>
    <cellStyle name="Total 2 6 3" xfId="894"/>
    <cellStyle name="Total 2 6 3 2" xfId="895"/>
    <cellStyle name="Total 2 6 3 3" xfId="896"/>
    <cellStyle name="Total 2 6 4" xfId="897"/>
    <cellStyle name="Total 2 6 5" xfId="898"/>
    <cellStyle name="Total 2 7" xfId="899"/>
    <cellStyle name="Total 2 7 2" xfId="900"/>
    <cellStyle name="Total 2 7 2 2" xfId="901"/>
    <cellStyle name="Total 2 7 2 3" xfId="902"/>
    <cellStyle name="Total 2 7 3" xfId="903"/>
    <cellStyle name="Total 2 7 3 2" xfId="904"/>
    <cellStyle name="Total 2 7 3 3" xfId="905"/>
    <cellStyle name="Total 2 7 4" xfId="906"/>
    <cellStyle name="Total 2 7 5" xfId="907"/>
    <cellStyle name="Total 2 8" xfId="908"/>
    <cellStyle name="Total 2 8 2" xfId="909"/>
    <cellStyle name="Total 2 8 3" xfId="910"/>
    <cellStyle name="Total 2 9" xfId="911"/>
    <cellStyle name="Total 2 9 2" xfId="912"/>
    <cellStyle name="Total 2 9 3" xfId="913"/>
    <cellStyle name="Warning Text 2" xfId="558"/>
    <cellStyle name="year" xfId="559"/>
    <cellStyle name="year 2" xfId="560"/>
    <cellStyle name="year 2 2" xfId="914"/>
    <cellStyle name="year 3" xfId="915"/>
    <cellStyle name="year_29(d) - Gas extensions -tariffs" xfId="561"/>
  </cellStyles>
  <dxfs count="0"/>
  <tableStyles count="0" defaultTableStyle="TableStyleMedium2" defaultPivotStyle="PivotStyleMedium9"/>
  <colors>
    <mruColors>
      <color rgb="FFC5E9F1"/>
      <color rgb="FFFFFF99"/>
      <color rgb="FF7DCCE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476250</xdr:colOff>
      <xdr:row>2</xdr:row>
      <xdr:rowOff>151</xdr:rowOff>
    </xdr:to>
    <xdr:pic>
      <xdr:nvPicPr>
        <xdr:cNvPr id="2" name="Picture 1">
          <a:extLst>
            <a:ext uri="{FF2B5EF4-FFF2-40B4-BE49-F238E27FC236}">
              <a16:creationId xmlns:a16="http://schemas.microsoft.com/office/drawing/2014/main" id="{6B969D01-4BB4-4F46-BDBF-039B32F0FA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47700" cy="37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476250</xdr:colOff>
      <xdr:row>2</xdr:row>
      <xdr:rowOff>151</xdr:rowOff>
    </xdr:to>
    <xdr:pic>
      <xdr:nvPicPr>
        <xdr:cNvPr id="2" name="Picture 1">
          <a:extLst>
            <a:ext uri="{FF2B5EF4-FFF2-40B4-BE49-F238E27FC236}">
              <a16:creationId xmlns:a16="http://schemas.microsoft.com/office/drawing/2014/main" id="{2BD58001-F622-4D86-9AE7-0166FFB1A1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47700" cy="362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9525</xdr:colOff>
      <xdr:row>56</xdr:row>
      <xdr:rowOff>155575</xdr:rowOff>
    </xdr:from>
    <xdr:ext cx="6628571" cy="447619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0728325" y="10766425"/>
          <a:ext cx="6628571" cy="4476190"/>
        </a:xfrm>
        <a:prstGeom prst="rect">
          <a:avLst/>
        </a:prstGeom>
      </xdr:spPr>
    </xdr:pic>
    <xdr:clientData/>
  </xdr:oneCellAnchor>
  <xdr:twoCellAnchor editAs="oneCell">
    <xdr:from>
      <xdr:col>0</xdr:col>
      <xdr:colOff>800101</xdr:colOff>
      <xdr:row>56</xdr:row>
      <xdr:rowOff>133350</xdr:rowOff>
    </xdr:from>
    <xdr:to>
      <xdr:col>8</xdr:col>
      <xdr:colOff>825501</xdr:colOff>
      <xdr:row>70</xdr:row>
      <xdr:rowOff>28575</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1" y="10744200"/>
          <a:ext cx="7454900" cy="247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0Benchmarking/6.%20AER/Distribution/2020/20201026_AER%20draft%20report/AER%20Partial%20Performance%20Indicators%20(DNSP)%20(2019)%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ARTS =&gt;"/>
      <sheetName val="Total Cost"/>
      <sheetName val="Total Opex"/>
      <sheetName val="Maintenance"/>
      <sheetName val="Vegetation management"/>
      <sheetName val="Emergency response"/>
      <sheetName val="Overheads"/>
      <sheetName val="Output charts"/>
      <sheetName val="OUTPUT DATA =&gt;"/>
      <sheetName val="ABS CPI"/>
      <sheetName val="Customers"/>
      <sheetName val="Customers (chart)"/>
      <sheetName val="Line length (circuit)"/>
      <sheetName val="Line length (circuit) (chart)"/>
      <sheetName val="Energy delivered"/>
      <sheetName val="Energy delivered (chart)"/>
      <sheetName val="Maximum demand"/>
      <sheetName val="Maximum demand (chart)"/>
      <sheetName val="Line length (route)"/>
      <sheetName val="Line length (route) (chart)"/>
      <sheetName val="Reliability"/>
      <sheetName val="Reliability (chart)"/>
      <sheetName val="COST DATA =&gt;"/>
      <sheetName val="Total Cost ($nominal)"/>
      <sheetName val="Total Cost ($real)"/>
      <sheetName val="Maintenance ($nominal)"/>
      <sheetName val="Maintenance ($real)"/>
      <sheetName val="Vegetation mgmt ($nominal)"/>
      <sheetName val="Vegetation management ($real)"/>
      <sheetName val="Emergency response ($nominal)"/>
      <sheetName val="Emergency response ($real)"/>
      <sheetName val="Overheads ($nominal)"/>
      <sheetName val="Overheads ($real)"/>
      <sheetName val="Dual function ($nominal)"/>
    </sheetNames>
    <sheetDataSet>
      <sheetData sheetId="0"/>
      <sheetData sheetId="1"/>
      <sheetData sheetId="2"/>
      <sheetData sheetId="3"/>
      <sheetData sheetId="4"/>
      <sheetData sheetId="5"/>
      <sheetData sheetId="6"/>
      <sheetData sheetId="7"/>
      <sheetData sheetId="8"/>
      <sheetData sheetId="9"/>
      <sheetData sheetId="10"/>
      <sheetData sheetId="11">
        <row r="11">
          <cell r="Q11">
            <v>762382</v>
          </cell>
        </row>
        <row r="12">
          <cell r="Q12">
            <v>345009</v>
          </cell>
        </row>
        <row r="19">
          <cell r="Q19">
            <v>853771</v>
          </cell>
        </row>
        <row r="20">
          <cell r="Q20">
            <v>906197.49999999977</v>
          </cell>
        </row>
        <row r="22">
          <cell r="Q22">
            <v>697594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8">
          <cell r="F8">
            <v>169904973.87972564</v>
          </cell>
          <cell r="G8">
            <v>165318616.44836548</v>
          </cell>
          <cell r="H8">
            <v>167476822.75177079</v>
          </cell>
          <cell r="I8">
            <v>179091449.14802155</v>
          </cell>
          <cell r="J8">
            <v>199108441.11060783</v>
          </cell>
          <cell r="K8">
            <v>206899959.20663479</v>
          </cell>
          <cell r="L8">
            <v>219377452.47385311</v>
          </cell>
          <cell r="M8">
            <v>242359423.06728265</v>
          </cell>
          <cell r="N8">
            <v>212443789.93119547</v>
          </cell>
          <cell r="O8">
            <v>197120349.32723606</v>
          </cell>
          <cell r="P8">
            <v>204177440.23405802</v>
          </cell>
        </row>
        <row r="9">
          <cell r="F9">
            <v>46368532.861433178</v>
          </cell>
          <cell r="G9">
            <v>50700503.896602958</v>
          </cell>
          <cell r="H9">
            <v>47367805.281452067</v>
          </cell>
          <cell r="I9">
            <v>60160810.170211844</v>
          </cell>
          <cell r="J9">
            <v>58245525.099151604</v>
          </cell>
          <cell r="K9">
            <v>60117286.484401107</v>
          </cell>
          <cell r="L9">
            <v>58008669.037158817</v>
          </cell>
          <cell r="M9">
            <v>58538879.276396945</v>
          </cell>
          <cell r="N9">
            <v>56473752.354061507</v>
          </cell>
          <cell r="O9">
            <v>49116689.187349528</v>
          </cell>
          <cell r="P9">
            <v>55345957.048282601</v>
          </cell>
        </row>
        <row r="14">
          <cell r="F14">
            <v>59578347.106410876</v>
          </cell>
          <cell r="G14">
            <v>70278305.756723464</v>
          </cell>
          <cell r="H14">
            <v>69728032.014239997</v>
          </cell>
          <cell r="I14">
            <v>79856818.376666278</v>
          </cell>
          <cell r="J14">
            <v>76672378.972148553</v>
          </cell>
          <cell r="K14">
            <v>76215162.086597651</v>
          </cell>
          <cell r="L14">
            <v>78338234.975282863</v>
          </cell>
          <cell r="M14">
            <v>83118439.943636373</v>
          </cell>
          <cell r="N14">
            <v>87112706.123104379</v>
          </cell>
          <cell r="O14">
            <v>80656418.110429451</v>
          </cell>
          <cell r="P14">
            <v>84456982.650000006</v>
          </cell>
        </row>
        <row r="15">
          <cell r="F15">
            <v>158194177.22933549</v>
          </cell>
          <cell r="G15">
            <v>152631154.7670733</v>
          </cell>
          <cell r="H15">
            <v>159715666.13799936</v>
          </cell>
          <cell r="I15">
            <v>191098819.90466797</v>
          </cell>
          <cell r="J15">
            <v>203711853.0560334</v>
          </cell>
          <cell r="K15">
            <v>186487028.6342411</v>
          </cell>
          <cell r="L15">
            <v>200213750.57470211</v>
          </cell>
          <cell r="M15">
            <v>170240996.4136731</v>
          </cell>
          <cell r="N15">
            <v>183697652.46753985</v>
          </cell>
          <cell r="O15">
            <v>189819270.06376925</v>
          </cell>
          <cell r="P15">
            <v>184353739.67465901</v>
          </cell>
        </row>
        <row r="18">
          <cell r="F18">
            <v>109728192.93427047</v>
          </cell>
          <cell r="G18">
            <v>115276715.52371509</v>
          </cell>
          <cell r="H18">
            <v>142039661.23078585</v>
          </cell>
          <cell r="I18">
            <v>144133435.33810949</v>
          </cell>
          <cell r="J18">
            <v>128812901.35158046</v>
          </cell>
          <cell r="K18">
            <v>132842662.1780663</v>
          </cell>
          <cell r="L18">
            <v>126192229.41418149</v>
          </cell>
          <cell r="M18">
            <v>146230245.55347294</v>
          </cell>
          <cell r="N18">
            <v>137693468.52483356</v>
          </cell>
          <cell r="O18">
            <v>110234328.57495415</v>
          </cell>
          <cell r="P18">
            <v>110815785</v>
          </cell>
        </row>
      </sheetData>
      <sheetData sheetId="26"/>
      <sheetData sheetId="27"/>
      <sheetData sheetId="28"/>
      <sheetData sheetId="29">
        <row r="8">
          <cell r="C8">
            <v>29039758.406788971</v>
          </cell>
          <cell r="D8">
            <v>25770231.992639836</v>
          </cell>
          <cell r="E8">
            <v>28510459.615792792</v>
          </cell>
          <cell r="F8">
            <v>37236573.121869609</v>
          </cell>
          <cell r="G8">
            <v>43112592.382258594</v>
          </cell>
          <cell r="H8">
            <v>38176577.690120079</v>
          </cell>
          <cell r="I8">
            <v>40541342.895277612</v>
          </cell>
          <cell r="J8">
            <v>38128726.831490912</v>
          </cell>
          <cell r="K8">
            <v>38976640.3393934</v>
          </cell>
          <cell r="L8">
            <v>31955089.6603681</v>
          </cell>
          <cell r="M8">
            <v>40897601</v>
          </cell>
        </row>
        <row r="9">
          <cell r="C9">
            <v>1182654.691707317</v>
          </cell>
          <cell r="D9">
            <v>1216275.5929824561</v>
          </cell>
          <cell r="E9">
            <v>3028991.9551703413</v>
          </cell>
          <cell r="F9">
            <v>5591043.6118111797</v>
          </cell>
          <cell r="G9">
            <v>2559102.4054822167</v>
          </cell>
          <cell r="H9">
            <v>2213904.3151969984</v>
          </cell>
          <cell r="I9">
            <v>1157824.3401365315</v>
          </cell>
          <cell r="J9">
            <v>3245704.7381818183</v>
          </cell>
          <cell r="K9">
            <v>-100501.07939339876</v>
          </cell>
          <cell r="L9">
            <v>-302826.62205777352</v>
          </cell>
          <cell r="M9">
            <v>5177825.1399999997</v>
          </cell>
        </row>
        <row r="14">
          <cell r="C14">
            <v>1089639.537780032</v>
          </cell>
          <cell r="D14">
            <v>1302481.7952535565</v>
          </cell>
          <cell r="E14">
            <v>2667375.871799361</v>
          </cell>
          <cell r="F14">
            <v>5273565.4156881217</v>
          </cell>
          <cell r="G14">
            <v>4884485.79581297</v>
          </cell>
          <cell r="H14">
            <v>4223319.0419512196</v>
          </cell>
          <cell r="I14">
            <v>3677390.1257175636</v>
          </cell>
          <cell r="J14">
            <v>3896657.3363873274</v>
          </cell>
          <cell r="K14">
            <v>4417266.6851206534</v>
          </cell>
          <cell r="L14">
            <v>4074823.9873619634</v>
          </cell>
          <cell r="M14">
            <v>3197180.41</v>
          </cell>
        </row>
        <row r="15">
          <cell r="C15">
            <v>17252472.449501593</v>
          </cell>
          <cell r="D15">
            <v>11942263.611764707</v>
          </cell>
          <cell r="E15">
            <v>31321439.351803612</v>
          </cell>
          <cell r="F15">
            <v>46160614.170922436</v>
          </cell>
          <cell r="G15">
            <v>50054214.473796263</v>
          </cell>
          <cell r="H15">
            <v>39290969.793621019</v>
          </cell>
          <cell r="I15">
            <v>38547884.314944655</v>
          </cell>
          <cell r="J15">
            <v>25001766.300000001</v>
          </cell>
          <cell r="K15">
            <v>30863888.219446927</v>
          </cell>
          <cell r="L15">
            <v>43726327.958231948</v>
          </cell>
          <cell r="M15">
            <v>38275369.759999998</v>
          </cell>
        </row>
        <row r="18">
          <cell r="C18">
            <v>4999299.9556733826</v>
          </cell>
          <cell r="D18">
            <v>5962535.7160165124</v>
          </cell>
          <cell r="E18">
            <v>11521381.362725453</v>
          </cell>
          <cell r="F18">
            <v>17118310.588235293</v>
          </cell>
          <cell r="G18">
            <v>15554535.326335879</v>
          </cell>
          <cell r="H18">
            <v>12735227.036472797</v>
          </cell>
          <cell r="I18">
            <v>12200179.868118081</v>
          </cell>
          <cell r="J18">
            <v>14016789.0744</v>
          </cell>
          <cell r="K18">
            <v>13224826.694023196</v>
          </cell>
          <cell r="L18">
            <v>13103734.407239266</v>
          </cell>
          <cell r="M18">
            <v>17039258</v>
          </cell>
        </row>
      </sheetData>
      <sheetData sheetId="30"/>
      <sheetData sheetId="31"/>
      <sheetData sheetId="32">
        <row r="18">
          <cell r="D18">
            <v>12378745.836201999</v>
          </cell>
        </row>
      </sheetData>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2.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2.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printerSettings" Target="../printerSettings/printerSettings7.bin"/><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O13"/>
  <sheetViews>
    <sheetView showGridLines="0" zoomScaleNormal="100" workbookViewId="0"/>
  </sheetViews>
  <sheetFormatPr defaultColWidth="9" defaultRowHeight="14.5"/>
  <cols>
    <col min="1" max="2" width="1.26953125" style="134" customWidth="1"/>
    <col min="3" max="3" width="46.453125" style="134" customWidth="1"/>
    <col min="4" max="9" width="13.81640625" style="134" customWidth="1"/>
    <col min="10" max="10" width="14.54296875" style="134" customWidth="1"/>
    <col min="11" max="11" width="10.453125" style="134" customWidth="1"/>
    <col min="12" max="12" width="11.81640625" style="134" customWidth="1"/>
    <col min="13" max="13" width="11.54296875" style="134" customWidth="1"/>
    <col min="14" max="17" width="10.453125" style="134" customWidth="1"/>
    <col min="18" max="19" width="11.1796875" style="134" customWidth="1"/>
    <col min="20" max="21" width="12.81640625" style="134" customWidth="1"/>
    <col min="22" max="36" width="10.453125" style="134" customWidth="1"/>
    <col min="37" max="16384" width="9" style="134"/>
  </cols>
  <sheetData>
    <row r="1" spans="2:15" s="154" customFormat="1" ht="15.5">
      <c r="B1" s="155"/>
      <c r="C1" s="156" t="s">
        <v>196</v>
      </c>
      <c r="D1" s="156"/>
      <c r="E1" s="156"/>
      <c r="H1" s="157" t="s">
        <v>187</v>
      </c>
      <c r="I1" s="158" t="s">
        <v>188</v>
      </c>
      <c r="J1" s="159" t="s">
        <v>189</v>
      </c>
      <c r="K1" s="160" t="s">
        <v>190</v>
      </c>
      <c r="L1" s="161" t="s">
        <v>191</v>
      </c>
      <c r="M1" s="162" t="s">
        <v>192</v>
      </c>
      <c r="N1" s="163" t="s">
        <v>193</v>
      </c>
      <c r="O1" s="164" t="s">
        <v>194</v>
      </c>
    </row>
    <row r="2" spans="2:15" s="165" customFormat="1" ht="13.5" thickBot="1">
      <c r="B2" s="166"/>
      <c r="C2" s="167" t="s">
        <v>203</v>
      </c>
      <c r="D2" s="168"/>
      <c r="E2" s="168"/>
      <c r="F2" s="168"/>
      <c r="G2" s="169"/>
      <c r="H2" s="169"/>
    </row>
    <row r="3" spans="2:15" s="170" customFormat="1" ht="11.25" customHeight="1">
      <c r="B3" s="171"/>
      <c r="C3" s="172"/>
    </row>
    <row r="4" spans="2:15" s="173" customFormat="1" ht="3" customHeight="1">
      <c r="B4" s="174"/>
    </row>
    <row r="5" spans="2:15" s="173" customFormat="1" ht="9" customHeight="1">
      <c r="B5" s="174" t="s">
        <v>195</v>
      </c>
    </row>
    <row r="6" spans="2:15" s="173" customFormat="1" ht="3" customHeight="1">
      <c r="B6" s="174"/>
    </row>
    <row r="7" spans="2:15" s="175" customFormat="1" ht="13">
      <c r="B7" s="176" t="s">
        <v>197</v>
      </c>
      <c r="C7" s="177"/>
    </row>
    <row r="9" spans="2:15">
      <c r="C9" s="179" t="s">
        <v>206</v>
      </c>
      <c r="D9" s="180" t="s">
        <v>204</v>
      </c>
      <c r="E9" s="180" t="s">
        <v>205</v>
      </c>
    </row>
    <row r="10" spans="2:15">
      <c r="C10" s="185" t="s">
        <v>208</v>
      </c>
      <c r="D10" s="193">
        <f>-'Calc|BushfireObligation_Actual'!$Q$16</f>
        <v>-1.2087595299749525E-2</v>
      </c>
      <c r="E10" s="193">
        <f>-'Calc|BushfireObligation_Actual'!$R$16</f>
        <v>-1.8802926021832596E-2</v>
      </c>
    </row>
    <row r="11" spans="2:15">
      <c r="C11" s="181" t="s">
        <v>207</v>
      </c>
      <c r="D11" s="184">
        <f>-'Bushfire obligations'!$Q$4</f>
        <v>-1.4898654167792355E-2</v>
      </c>
      <c r="E11" s="184">
        <f>-'Bushfire obligations'!$R$4</f>
        <v>-2.4210313022662577E-2</v>
      </c>
    </row>
    <row r="13" spans="2:15" s="175" customFormat="1" ht="13">
      <c r="B13" s="176" t="s">
        <v>199</v>
      </c>
      <c r="C13" s="17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A79"/>
  <sheetViews>
    <sheetView showGridLines="0" topLeftCell="A49" zoomScaleNormal="100" workbookViewId="0"/>
  </sheetViews>
  <sheetFormatPr defaultColWidth="9" defaultRowHeight="14.5"/>
  <cols>
    <col min="1" max="2" width="1.26953125" style="134" customWidth="1"/>
    <col min="3" max="3" width="28.54296875" style="134" customWidth="1"/>
    <col min="4" max="9" width="13.81640625" style="134" customWidth="1"/>
    <col min="10" max="10" width="14.54296875" style="134" customWidth="1"/>
    <col min="11" max="11" width="10.453125" style="134" customWidth="1"/>
    <col min="12" max="12" width="11.81640625" style="134" customWidth="1"/>
    <col min="13" max="13" width="11.54296875" style="134" customWidth="1"/>
    <col min="14" max="17" width="10.453125" style="134" customWidth="1"/>
    <col min="18" max="19" width="11.1796875" style="134" customWidth="1"/>
    <col min="20" max="21" width="12.81640625" style="134" customWidth="1"/>
    <col min="22" max="36" width="10.453125" style="134" customWidth="1"/>
    <col min="37" max="16384" width="9" style="134"/>
  </cols>
  <sheetData>
    <row r="1" spans="2:25" s="154" customFormat="1" ht="15.5">
      <c r="B1" s="155"/>
      <c r="C1" s="156" t="s">
        <v>196</v>
      </c>
      <c r="D1" s="156"/>
      <c r="E1" s="156"/>
      <c r="H1" s="157" t="s">
        <v>187</v>
      </c>
      <c r="I1" s="158" t="s">
        <v>188</v>
      </c>
      <c r="J1" s="159" t="s">
        <v>189</v>
      </c>
      <c r="K1" s="160" t="s">
        <v>190</v>
      </c>
      <c r="L1" s="161" t="s">
        <v>191</v>
      </c>
      <c r="M1" s="162" t="s">
        <v>192</v>
      </c>
      <c r="N1" s="163" t="s">
        <v>193</v>
      </c>
      <c r="O1" s="164" t="s">
        <v>194</v>
      </c>
    </row>
    <row r="2" spans="2:25" s="165" customFormat="1" ht="13.5" thickBot="1">
      <c r="B2" s="166"/>
      <c r="C2" s="167" t="s">
        <v>209</v>
      </c>
      <c r="D2" s="168"/>
      <c r="E2" s="168"/>
      <c r="F2" s="168"/>
      <c r="G2" s="169"/>
      <c r="H2" s="169"/>
    </row>
    <row r="3" spans="2:25" s="170" customFormat="1" ht="11.25" customHeight="1">
      <c r="B3" s="171"/>
      <c r="C3" s="172"/>
    </row>
    <row r="4" spans="2:25" s="173" customFormat="1" ht="3" customHeight="1">
      <c r="B4" s="174"/>
    </row>
    <row r="5" spans="2:25" s="173" customFormat="1" ht="9" customHeight="1">
      <c r="B5" s="174" t="s">
        <v>195</v>
      </c>
    </row>
    <row r="6" spans="2:25" s="173" customFormat="1" ht="3" customHeight="1">
      <c r="B6" s="174"/>
    </row>
    <row r="7" spans="2:25" s="175" customFormat="1" ht="13">
      <c r="B7" s="176" t="s">
        <v>202</v>
      </c>
      <c r="C7" s="177"/>
    </row>
    <row r="9" spans="2:25">
      <c r="C9" s="178" t="s">
        <v>201</v>
      </c>
    </row>
    <row r="10" spans="2:25">
      <c r="C10" s="178" t="s">
        <v>200</v>
      </c>
    </row>
    <row r="12" spans="2:25" s="182" customFormat="1">
      <c r="C12" s="183" t="s">
        <v>34</v>
      </c>
    </row>
    <row r="13" spans="2:25" s="1" customFormat="1">
      <c r="Q13" s="194" t="s">
        <v>160</v>
      </c>
      <c r="R13" s="194"/>
    </row>
    <row r="14" spans="2:25">
      <c r="Q14" s="1" t="s">
        <v>184</v>
      </c>
      <c r="R14" s="1" t="s">
        <v>185</v>
      </c>
      <c r="X14" s="1"/>
      <c r="Y14" s="1"/>
    </row>
    <row r="15" spans="2:25">
      <c r="X15" s="1"/>
      <c r="Y15" s="1"/>
    </row>
    <row r="16" spans="2:25">
      <c r="D16" s="134" t="s">
        <v>59</v>
      </c>
      <c r="Q16" s="131">
        <f>(Q19*(Z48+1))/(Z45+1)</f>
        <v>1.2087595299749525E-2</v>
      </c>
      <c r="R16" s="131">
        <f>(R19*(AA48+1))/(AA45+1)</f>
        <v>1.8802926021832596E-2</v>
      </c>
      <c r="V16" s="8"/>
      <c r="W16" s="8"/>
      <c r="X16" s="49"/>
      <c r="Y16" s="49"/>
    </row>
    <row r="17" spans="3:25">
      <c r="X17" s="1"/>
      <c r="Y17" s="1"/>
    </row>
    <row r="18" spans="3:25">
      <c r="D18" s="1"/>
      <c r="G18" s="9"/>
      <c r="X18" s="1"/>
      <c r="Y18" s="1"/>
    </row>
    <row r="19" spans="3:25">
      <c r="D19" s="146" t="s">
        <v>211</v>
      </c>
      <c r="E19" s="146"/>
      <c r="F19" s="146"/>
      <c r="G19" s="150"/>
      <c r="H19" s="146"/>
      <c r="I19" s="146"/>
      <c r="Q19" s="149">
        <f>I56-R53</f>
        <v>1.8802926021832596E-2</v>
      </c>
      <c r="R19" s="131">
        <f>Q19</f>
        <v>1.8802926021832596E-2</v>
      </c>
      <c r="X19" s="106"/>
      <c r="Y19" s="106"/>
    </row>
    <row r="20" spans="3:25">
      <c r="S20" s="8"/>
      <c r="T20" s="8"/>
      <c r="U20" s="8"/>
      <c r="V20" s="8"/>
      <c r="X20" s="8"/>
      <c r="Y20" s="8"/>
    </row>
    <row r="21" spans="3:25" s="16" customFormat="1">
      <c r="C21" s="16" t="s">
        <v>172</v>
      </c>
    </row>
    <row r="22" spans="3:25">
      <c r="D22" s="6"/>
      <c r="E22" s="6"/>
      <c r="F22" s="6"/>
      <c r="G22" s="6"/>
      <c r="H22" s="6"/>
      <c r="I22" s="6"/>
      <c r="J22" s="6"/>
      <c r="K22" s="6"/>
      <c r="L22" s="6"/>
      <c r="M22" s="6"/>
      <c r="N22" s="6"/>
      <c r="O22" s="6"/>
      <c r="P22" s="6"/>
      <c r="Q22" s="6"/>
      <c r="R22" s="20"/>
      <c r="S22" s="20"/>
      <c r="T22" s="20"/>
      <c r="U22" s="20"/>
      <c r="V22" s="25"/>
      <c r="W22" s="1"/>
    </row>
    <row r="23" spans="3:25" ht="29">
      <c r="C23" s="19"/>
      <c r="D23" s="138" t="s">
        <v>26</v>
      </c>
      <c r="E23" s="138" t="s">
        <v>27</v>
      </c>
      <c r="F23" s="138">
        <v>2009</v>
      </c>
      <c r="G23" s="138">
        <f>F23+1</f>
        <v>2010</v>
      </c>
      <c r="H23" s="138">
        <f t="shared" ref="H23:P23" si="0">G23+1</f>
        <v>2011</v>
      </c>
      <c r="I23" s="138">
        <f t="shared" si="0"/>
        <v>2012</v>
      </c>
      <c r="J23" s="138">
        <f t="shared" si="0"/>
        <v>2013</v>
      </c>
      <c r="K23" s="138">
        <f t="shared" si="0"/>
        <v>2014</v>
      </c>
      <c r="L23" s="138">
        <f t="shared" si="0"/>
        <v>2015</v>
      </c>
      <c r="M23" s="138">
        <f t="shared" si="0"/>
        <v>2016</v>
      </c>
      <c r="N23" s="138">
        <f t="shared" si="0"/>
        <v>2017</v>
      </c>
      <c r="O23" s="138">
        <f t="shared" si="0"/>
        <v>2018</v>
      </c>
      <c r="P23" s="138">
        <f t="shared" si="0"/>
        <v>2019</v>
      </c>
      <c r="Q23" s="138" t="s">
        <v>173</v>
      </c>
      <c r="R23" s="138" t="s">
        <v>182</v>
      </c>
      <c r="U23" s="23"/>
      <c r="V23" s="1"/>
    </row>
    <row r="24" spans="3:25">
      <c r="C24" s="4" t="s">
        <v>28</v>
      </c>
      <c r="D24" s="4" t="s">
        <v>29</v>
      </c>
      <c r="E24" s="26" t="s">
        <v>171</v>
      </c>
      <c r="F24" s="137">
        <f>'[1]Vegetation management ($real)'!C9/10^3</f>
        <v>1182.6546917073169</v>
      </c>
      <c r="G24" s="137">
        <f>'[1]Vegetation management ($real)'!D9/10^3</f>
        <v>1216.2755929824561</v>
      </c>
      <c r="H24" s="137">
        <f>'[1]Vegetation management ($real)'!E9/10^3</f>
        <v>3028.9919551703415</v>
      </c>
      <c r="I24" s="137">
        <f>'[1]Vegetation management ($real)'!F9/10^3</f>
        <v>5591.0436118111793</v>
      </c>
      <c r="J24" s="137">
        <f>'[1]Vegetation management ($real)'!G9/10^3</f>
        <v>2559.1024054822169</v>
      </c>
      <c r="K24" s="137">
        <f>'[1]Vegetation management ($real)'!H9/10^3</f>
        <v>2213.9043151969986</v>
      </c>
      <c r="L24" s="137">
        <f>'[1]Vegetation management ($real)'!I9/10^3</f>
        <v>1157.8243401365314</v>
      </c>
      <c r="M24" s="137">
        <f>'[1]Vegetation management ($real)'!J9/10^3</f>
        <v>3245.7047381818184</v>
      </c>
      <c r="N24" s="137">
        <f>'[1]Vegetation management ($real)'!K9/10^3</f>
        <v>-100.50107939339875</v>
      </c>
      <c r="O24" s="137">
        <f>'[1]Vegetation management ($real)'!L9/10^3</f>
        <v>-302.82662205777353</v>
      </c>
      <c r="P24" s="137">
        <f>'[1]Vegetation management ($real)'!M9/10^3</f>
        <v>5177.8251399999999</v>
      </c>
      <c r="Q24" s="29">
        <f>AVERAGE(F24:G24)</f>
        <v>1199.4651423448865</v>
      </c>
      <c r="R24" s="29">
        <f>AVERAGE(H24:P24)</f>
        <v>2507.8965338364346</v>
      </c>
      <c r="U24" s="24" t="s">
        <v>7</v>
      </c>
      <c r="V24" s="1" t="s">
        <v>198</v>
      </c>
    </row>
    <row r="25" spans="3:25">
      <c r="C25" s="4" t="s">
        <v>31</v>
      </c>
      <c r="D25" s="4" t="s">
        <v>29</v>
      </c>
      <c r="E25" s="26" t="s">
        <v>171</v>
      </c>
      <c r="F25" s="137">
        <f>'[1]Vegetation management ($real)'!C15/10^3</f>
        <v>17252.472449501594</v>
      </c>
      <c r="G25" s="137">
        <f>'[1]Vegetation management ($real)'!D15/10^3</f>
        <v>11942.263611764707</v>
      </c>
      <c r="H25" s="137">
        <f>'[1]Vegetation management ($real)'!E15/10^3</f>
        <v>31321.439351803612</v>
      </c>
      <c r="I25" s="137">
        <f>'[1]Vegetation management ($real)'!F15/10^3</f>
        <v>46160.614170922439</v>
      </c>
      <c r="J25" s="137">
        <f>'[1]Vegetation management ($real)'!G15/10^3</f>
        <v>50054.214473796266</v>
      </c>
      <c r="K25" s="137">
        <f>'[1]Vegetation management ($real)'!H15/10^3</f>
        <v>39290.969793621021</v>
      </c>
      <c r="L25" s="137">
        <f>'[1]Vegetation management ($real)'!I15/10^3</f>
        <v>38547.884314944655</v>
      </c>
      <c r="M25" s="137">
        <f>'[1]Vegetation management ($real)'!J15/10^3</f>
        <v>25001.766299999999</v>
      </c>
      <c r="N25" s="137">
        <f>'[1]Vegetation management ($real)'!K15/10^3</f>
        <v>30863.888219446926</v>
      </c>
      <c r="O25" s="137">
        <f>'[1]Vegetation management ($real)'!L15/10^3</f>
        <v>43726.327958231952</v>
      </c>
      <c r="P25" s="137">
        <f>'[1]Vegetation management ($real)'!M15/10^3</f>
        <v>38275.369760000001</v>
      </c>
      <c r="Q25" s="29">
        <f>AVERAGE(F25:G25)</f>
        <v>14597.368030633152</v>
      </c>
      <c r="R25" s="29">
        <f>AVERAGE(H25:P25)</f>
        <v>38138.052704751877</v>
      </c>
      <c r="U25" s="24" t="s">
        <v>7</v>
      </c>
      <c r="V25" s="1" t="s">
        <v>198</v>
      </c>
    </row>
    <row r="26" spans="3:25">
      <c r="C26" s="4" t="s">
        <v>10</v>
      </c>
      <c r="D26" s="189"/>
      <c r="E26" s="188"/>
      <c r="F26" s="190"/>
      <c r="G26" s="190"/>
      <c r="H26" s="190"/>
      <c r="I26" s="190"/>
      <c r="J26" s="190"/>
      <c r="K26" s="190"/>
      <c r="L26" s="190"/>
      <c r="M26" s="190"/>
      <c r="N26" s="190"/>
      <c r="O26" s="190"/>
      <c r="P26" s="190"/>
      <c r="Q26" s="186"/>
      <c r="R26" s="186"/>
      <c r="U26" s="24"/>
      <c r="V26" s="1"/>
    </row>
    <row r="27" spans="3:25">
      <c r="C27" s="4" t="s">
        <v>32</v>
      </c>
      <c r="D27" s="4" t="s">
        <v>29</v>
      </c>
      <c r="E27" s="26" t="s">
        <v>171</v>
      </c>
      <c r="F27" s="137">
        <f>'[1]Vegetation management ($real)'!C8/10^3</f>
        <v>29039.758406788973</v>
      </c>
      <c r="G27" s="137">
        <f>'[1]Vegetation management ($real)'!D8/10^3</f>
        <v>25770.231992639838</v>
      </c>
      <c r="H27" s="137">
        <f>'[1]Vegetation management ($real)'!E8/10^3</f>
        <v>28510.459615792792</v>
      </c>
      <c r="I27" s="137">
        <f>'[1]Vegetation management ($real)'!F8/10^3</f>
        <v>37236.573121869609</v>
      </c>
      <c r="J27" s="137">
        <f>'[1]Vegetation management ($real)'!G8/10^3</f>
        <v>43112.592382258597</v>
      </c>
      <c r="K27" s="137">
        <f>'[1]Vegetation management ($real)'!H8/10^3</f>
        <v>38176.577690120081</v>
      </c>
      <c r="L27" s="137">
        <f>'[1]Vegetation management ($real)'!I8/10^3</f>
        <v>40541.342895277608</v>
      </c>
      <c r="M27" s="137">
        <f>'[1]Vegetation management ($real)'!J8/10^3</f>
        <v>38128.726831490909</v>
      </c>
      <c r="N27" s="137">
        <f>'[1]Vegetation management ($real)'!K8/10^3</f>
        <v>38976.640339393402</v>
      </c>
      <c r="O27" s="137">
        <f>'[1]Vegetation management ($real)'!L8/10^3</f>
        <v>31955.089660368099</v>
      </c>
      <c r="P27" s="137">
        <f>'[1]Vegetation management ($real)'!M8/10^3</f>
        <v>40897.601000000002</v>
      </c>
      <c r="Q27" s="29">
        <f>AVERAGE(F27:G27)</f>
        <v>27404.995199714405</v>
      </c>
      <c r="R27" s="29">
        <f>AVERAGE(H27:P27)</f>
        <v>37503.955948507901</v>
      </c>
      <c r="U27" s="24" t="s">
        <v>7</v>
      </c>
      <c r="V27" s="1" t="s">
        <v>198</v>
      </c>
    </row>
    <row r="28" spans="3:25">
      <c r="C28" s="4" t="s">
        <v>3</v>
      </c>
      <c r="D28" s="4" t="s">
        <v>29</v>
      </c>
      <c r="E28" s="26" t="s">
        <v>171</v>
      </c>
      <c r="F28" s="137">
        <f>'[1]Vegetation management ($real)'!C18/10^3</f>
        <v>4999.299955673383</v>
      </c>
      <c r="G28" s="137">
        <f>'[1]Vegetation management ($real)'!D18/10^3</f>
        <v>5962.5357160165122</v>
      </c>
      <c r="H28" s="137">
        <f>'[1]Vegetation management ($real)'!E18/10^3</f>
        <v>11521.381362725453</v>
      </c>
      <c r="I28" s="137">
        <f>'[1]Vegetation management ($real)'!F18/10^3</f>
        <v>17118.310588235294</v>
      </c>
      <c r="J28" s="137">
        <f>'[1]Vegetation management ($real)'!G18/10^3</f>
        <v>15554.535326335879</v>
      </c>
      <c r="K28" s="137">
        <f>'[1]Vegetation management ($real)'!H18/10^3</f>
        <v>12735.227036472797</v>
      </c>
      <c r="L28" s="137">
        <f>'[1]Vegetation management ($real)'!I18/10^3</f>
        <v>12200.179868118081</v>
      </c>
      <c r="M28" s="137">
        <f>'[1]Vegetation management ($real)'!J18/10^3</f>
        <v>14016.7890744</v>
      </c>
      <c r="N28" s="137">
        <f>'[1]Vegetation management ($real)'!K18/10^3</f>
        <v>13224.826694023195</v>
      </c>
      <c r="O28" s="137">
        <f>'[1]Vegetation management ($real)'!L18/10^3</f>
        <v>13103.734407239266</v>
      </c>
      <c r="P28" s="137">
        <f>'[1]Vegetation management ($real)'!M18/10^3</f>
        <v>17039.258000000002</v>
      </c>
      <c r="Q28" s="29">
        <f>AVERAGE(F28:G28)</f>
        <v>5480.9178358449481</v>
      </c>
      <c r="R28" s="29">
        <f>AVERAGE(H28:P28)</f>
        <v>14057.138039727774</v>
      </c>
      <c r="U28" s="24" t="s">
        <v>7</v>
      </c>
      <c r="V28" s="1" t="s">
        <v>198</v>
      </c>
    </row>
    <row r="29" spans="3:25">
      <c r="D29" s="6"/>
      <c r="E29" s="6"/>
      <c r="F29" s="6"/>
      <c r="G29" s="6"/>
      <c r="H29" s="6"/>
      <c r="I29" s="6"/>
      <c r="J29" s="6"/>
      <c r="K29" s="6"/>
      <c r="L29" s="6"/>
      <c r="M29" s="6"/>
      <c r="N29" s="6"/>
      <c r="O29" s="6"/>
      <c r="P29" s="6"/>
      <c r="Q29" s="6"/>
      <c r="T29" s="20"/>
      <c r="U29" s="20"/>
      <c r="V29" s="25"/>
      <c r="W29" s="1"/>
    </row>
    <row r="30" spans="3:25" s="16" customFormat="1">
      <c r="C30" s="16" t="s">
        <v>174</v>
      </c>
    </row>
    <row r="31" spans="3:25">
      <c r="D31" s="6"/>
      <c r="E31" s="6"/>
      <c r="F31" s="6"/>
      <c r="G31" s="6"/>
      <c r="H31" s="6"/>
      <c r="I31" s="6"/>
      <c r="J31" s="6"/>
      <c r="K31" s="6"/>
      <c r="L31" s="6"/>
      <c r="M31" s="6"/>
      <c r="N31" s="6"/>
      <c r="O31" s="6"/>
      <c r="P31" s="6"/>
      <c r="Q31" s="6"/>
      <c r="R31" s="20"/>
      <c r="S31" s="20"/>
      <c r="T31" s="20"/>
      <c r="U31" s="20"/>
      <c r="V31" s="25"/>
      <c r="W31" s="1"/>
    </row>
    <row r="32" spans="3:25" ht="29">
      <c r="C32" s="19"/>
      <c r="D32" s="138" t="s">
        <v>26</v>
      </c>
      <c r="E32" s="138" t="s">
        <v>27</v>
      </c>
      <c r="F32" s="138">
        <f t="shared" ref="F32:R32" si="1">F23</f>
        <v>2009</v>
      </c>
      <c r="G32" s="138">
        <f t="shared" si="1"/>
        <v>2010</v>
      </c>
      <c r="H32" s="138">
        <f t="shared" si="1"/>
        <v>2011</v>
      </c>
      <c r="I32" s="138">
        <f t="shared" si="1"/>
        <v>2012</v>
      </c>
      <c r="J32" s="138">
        <f t="shared" si="1"/>
        <v>2013</v>
      </c>
      <c r="K32" s="138">
        <f t="shared" si="1"/>
        <v>2014</v>
      </c>
      <c r="L32" s="138">
        <f t="shared" si="1"/>
        <v>2015</v>
      </c>
      <c r="M32" s="138">
        <f t="shared" si="1"/>
        <v>2016</v>
      </c>
      <c r="N32" s="138">
        <f t="shared" si="1"/>
        <v>2017</v>
      </c>
      <c r="O32" s="138">
        <f t="shared" si="1"/>
        <v>2018</v>
      </c>
      <c r="P32" s="138">
        <f t="shared" si="1"/>
        <v>2019</v>
      </c>
      <c r="Q32" s="138" t="str">
        <f t="shared" si="1"/>
        <v>Average 2009-10</v>
      </c>
      <c r="R32" s="138" t="str">
        <f t="shared" si="1"/>
        <v>Average 2011-19</v>
      </c>
      <c r="V32" s="19"/>
    </row>
    <row r="33" spans="3:27">
      <c r="C33" s="4" t="s">
        <v>28</v>
      </c>
      <c r="D33" s="4" t="s">
        <v>29</v>
      </c>
      <c r="E33" s="26" t="s">
        <v>171</v>
      </c>
      <c r="F33" s="137">
        <f>'[1]Total Cost ($real)'!F9/10^3</f>
        <v>46368.532861433181</v>
      </c>
      <c r="G33" s="137">
        <f>'[1]Total Cost ($real)'!G9/10^3</f>
        <v>50700.503896602961</v>
      </c>
      <c r="H33" s="137">
        <f>'[1]Total Cost ($real)'!H9/10^3</f>
        <v>47367.805281452071</v>
      </c>
      <c r="I33" s="137">
        <f>'[1]Total Cost ($real)'!I9/10^3</f>
        <v>60160.810170211844</v>
      </c>
      <c r="J33" s="137">
        <f>'[1]Total Cost ($real)'!J9/10^3</f>
        <v>58245.5250991516</v>
      </c>
      <c r="K33" s="137">
        <f>'[1]Total Cost ($real)'!K9/10^3</f>
        <v>60117.286484401106</v>
      </c>
      <c r="L33" s="137">
        <f>'[1]Total Cost ($real)'!L9/10^3</f>
        <v>58008.669037158819</v>
      </c>
      <c r="M33" s="137">
        <f>'[1]Total Cost ($real)'!M9/10^3</f>
        <v>58538.879276396947</v>
      </c>
      <c r="N33" s="137">
        <f>'[1]Total Cost ($real)'!N9/10^3</f>
        <v>56473.752354061508</v>
      </c>
      <c r="O33" s="137">
        <f>'[1]Total Cost ($real)'!O9/10^3</f>
        <v>49116.689187349526</v>
      </c>
      <c r="P33" s="137">
        <f>'[1]Total Cost ($real)'!P9/10^3</f>
        <v>55345.957048282602</v>
      </c>
      <c r="Q33" s="29">
        <f>AVERAGE(F33:G33)</f>
        <v>48534.518379018074</v>
      </c>
      <c r="R33" s="29">
        <f>AVERAGE(H33:P33)</f>
        <v>55930.597104273998</v>
      </c>
      <c r="U33" s="24" t="s">
        <v>7</v>
      </c>
      <c r="V33" s="1" t="s">
        <v>198</v>
      </c>
    </row>
    <row r="34" spans="3:27">
      <c r="C34" s="4" t="s">
        <v>31</v>
      </c>
      <c r="D34" s="4" t="s">
        <v>29</v>
      </c>
      <c r="E34" s="26" t="s">
        <v>171</v>
      </c>
      <c r="F34" s="137">
        <f>'[1]Total Cost ($real)'!F15/10^3</f>
        <v>158194.17722933547</v>
      </c>
      <c r="G34" s="137">
        <f>'[1]Total Cost ($real)'!G15/10^3</f>
        <v>152631.15476707331</v>
      </c>
      <c r="H34" s="137">
        <f>'[1]Total Cost ($real)'!H15/10^3</f>
        <v>159715.66613799936</v>
      </c>
      <c r="I34" s="137">
        <f>'[1]Total Cost ($real)'!I15/10^3</f>
        <v>191098.81990466797</v>
      </c>
      <c r="J34" s="137">
        <f>'[1]Total Cost ($real)'!J15/10^3</f>
        <v>203711.8530560334</v>
      </c>
      <c r="K34" s="137">
        <f>'[1]Total Cost ($real)'!K15/10^3</f>
        <v>186487.02863424111</v>
      </c>
      <c r="L34" s="137">
        <f>'[1]Total Cost ($real)'!L15/10^3</f>
        <v>200213.75057470211</v>
      </c>
      <c r="M34" s="137">
        <f>'[1]Total Cost ($real)'!M15/10^3</f>
        <v>170240.9964136731</v>
      </c>
      <c r="N34" s="137">
        <f>'[1]Total Cost ($real)'!N15/10^3</f>
        <v>183697.65246753985</v>
      </c>
      <c r="O34" s="137">
        <f>'[1]Total Cost ($real)'!O15/10^3</f>
        <v>189819.27006376925</v>
      </c>
      <c r="P34" s="137">
        <f>'[1]Total Cost ($real)'!P15/10^3</f>
        <v>184353.73967465901</v>
      </c>
      <c r="Q34" s="29">
        <f>AVERAGE(F34:G34)</f>
        <v>155412.66599820438</v>
      </c>
      <c r="R34" s="29">
        <f>AVERAGE(H34:P34)</f>
        <v>185482.08632525388</v>
      </c>
      <c r="U34" s="24" t="s">
        <v>7</v>
      </c>
      <c r="V34" s="1" t="s">
        <v>198</v>
      </c>
    </row>
    <row r="35" spans="3:27">
      <c r="C35" s="4" t="s">
        <v>10</v>
      </c>
      <c r="D35" s="189"/>
      <c r="E35" s="188"/>
      <c r="F35" s="187"/>
      <c r="G35" s="187"/>
      <c r="H35" s="187"/>
      <c r="I35" s="187"/>
      <c r="J35" s="187"/>
      <c r="K35" s="187"/>
      <c r="L35" s="187"/>
      <c r="M35" s="187"/>
      <c r="N35" s="187"/>
      <c r="O35" s="187"/>
      <c r="P35" s="187"/>
      <c r="Q35" s="187"/>
      <c r="R35" s="187"/>
      <c r="U35" s="24"/>
    </row>
    <row r="36" spans="3:27">
      <c r="C36" s="4" t="s">
        <v>32</v>
      </c>
      <c r="D36" s="4" t="s">
        <v>29</v>
      </c>
      <c r="E36" s="26" t="s">
        <v>171</v>
      </c>
      <c r="F36" s="137">
        <f>'[1]Total Cost ($real)'!F8/10^3</f>
        <v>169904.97387972564</v>
      </c>
      <c r="G36" s="137">
        <f>'[1]Total Cost ($real)'!G8/10^3</f>
        <v>165318.61644836547</v>
      </c>
      <c r="H36" s="137">
        <f>'[1]Total Cost ($real)'!H8/10^3</f>
        <v>167476.82275177079</v>
      </c>
      <c r="I36" s="137">
        <f>'[1]Total Cost ($real)'!I8/10^3</f>
        <v>179091.44914802155</v>
      </c>
      <c r="J36" s="137">
        <f>'[1]Total Cost ($real)'!J8/10^3</f>
        <v>199108.44111060782</v>
      </c>
      <c r="K36" s="137">
        <f>'[1]Total Cost ($real)'!K8/10^3</f>
        <v>206899.95920663478</v>
      </c>
      <c r="L36" s="137">
        <f>'[1]Total Cost ($real)'!L8/10^3</f>
        <v>219377.4524738531</v>
      </c>
      <c r="M36" s="137">
        <f>'[1]Total Cost ($real)'!M8/10^3</f>
        <v>242359.42306728265</v>
      </c>
      <c r="N36" s="137">
        <f>'[1]Total Cost ($real)'!N8/10^3</f>
        <v>212443.78993119547</v>
      </c>
      <c r="O36" s="137">
        <f>'[1]Total Cost ($real)'!O8/10^3</f>
        <v>197120.34932723606</v>
      </c>
      <c r="P36" s="137">
        <f>'[1]Total Cost ($real)'!P8/10^3</f>
        <v>204177.44023405801</v>
      </c>
      <c r="Q36" s="29">
        <f>AVERAGE(F36:G36)</f>
        <v>167611.79516404556</v>
      </c>
      <c r="R36" s="29">
        <f t="shared" ref="R36:R37" si="2">AVERAGE(H36:P36)</f>
        <v>203117.23636118451</v>
      </c>
      <c r="U36" s="24" t="s">
        <v>7</v>
      </c>
      <c r="V36" s="1" t="s">
        <v>198</v>
      </c>
    </row>
    <row r="37" spans="3:27">
      <c r="C37" s="4" t="s">
        <v>3</v>
      </c>
      <c r="D37" s="4" t="s">
        <v>29</v>
      </c>
      <c r="E37" s="26" t="s">
        <v>171</v>
      </c>
      <c r="F37" s="137">
        <f>'[1]Total Cost ($real)'!F18/10^3</f>
        <v>109728.19293427047</v>
      </c>
      <c r="G37" s="137">
        <f>'[1]Total Cost ($real)'!G18/10^3</f>
        <v>115276.71552371509</v>
      </c>
      <c r="H37" s="137">
        <f>'[1]Total Cost ($real)'!H18/10^3</f>
        <v>142039.66123078586</v>
      </c>
      <c r="I37" s="137">
        <f>'[1]Total Cost ($real)'!I18/10^3</f>
        <v>144133.4353381095</v>
      </c>
      <c r="J37" s="137">
        <f>'[1]Total Cost ($real)'!J18/10^3</f>
        <v>128812.90135158045</v>
      </c>
      <c r="K37" s="137">
        <f>'[1]Total Cost ($real)'!K18/10^3</f>
        <v>132842.6621780663</v>
      </c>
      <c r="L37" s="137">
        <f>'[1]Total Cost ($real)'!L18/10^3</f>
        <v>126192.22941418149</v>
      </c>
      <c r="M37" s="137">
        <f>'[1]Total Cost ($real)'!M18/10^3</f>
        <v>146230.24555347292</v>
      </c>
      <c r="N37" s="137">
        <f>'[1]Total Cost ($real)'!N18/10^3</f>
        <v>137693.46852483356</v>
      </c>
      <c r="O37" s="137">
        <f>'[1]Total Cost ($real)'!O18/10^3</f>
        <v>110234.32857495415</v>
      </c>
      <c r="P37" s="137">
        <f>'[1]Total Cost ($real)'!P18/10^3</f>
        <v>110815.785</v>
      </c>
      <c r="Q37" s="29">
        <f>AVERAGE(F37:G37)</f>
        <v>112502.45422899278</v>
      </c>
      <c r="R37" s="29">
        <f t="shared" si="2"/>
        <v>130999.41301844266</v>
      </c>
      <c r="U37" s="24" t="s">
        <v>7</v>
      </c>
      <c r="V37" s="1" t="s">
        <v>198</v>
      </c>
    </row>
    <row r="38" spans="3:27">
      <c r="D38" s="6"/>
      <c r="E38" s="6"/>
      <c r="F38" s="6"/>
      <c r="G38" s="6"/>
      <c r="H38" s="6"/>
      <c r="I38" s="6"/>
      <c r="J38" s="6"/>
      <c r="K38" s="6"/>
      <c r="L38" s="6"/>
      <c r="M38" s="6"/>
      <c r="N38" s="6"/>
      <c r="O38" s="6"/>
      <c r="P38" s="6"/>
      <c r="Q38" s="6"/>
      <c r="R38" s="20"/>
      <c r="S38" s="20"/>
      <c r="T38" s="20"/>
      <c r="U38" s="20"/>
      <c r="V38" s="25"/>
      <c r="W38" s="1"/>
    </row>
    <row r="39" spans="3:27" s="16" customFormat="1">
      <c r="C39" s="16" t="s">
        <v>33</v>
      </c>
    </row>
    <row r="40" spans="3:27">
      <c r="C40" s="36"/>
      <c r="P40" s="1"/>
      <c r="Q40" s="195" t="s">
        <v>175</v>
      </c>
      <c r="R40" s="196"/>
      <c r="S40" s="196"/>
      <c r="T40" s="197"/>
      <c r="V40" s="1"/>
      <c r="W40" s="1"/>
      <c r="X40" s="1"/>
      <c r="Y40" s="1"/>
      <c r="Z40" s="1"/>
    </row>
    <row r="41" spans="3:27" ht="58">
      <c r="C41" s="153" t="s">
        <v>156</v>
      </c>
      <c r="D41" s="153"/>
      <c r="E41" s="134" t="s">
        <v>68</v>
      </c>
      <c r="P41" s="43"/>
      <c r="Q41" s="138" t="str">
        <f>Q32</f>
        <v>Average 2009-10</v>
      </c>
      <c r="R41" s="138" t="str">
        <f>R32</f>
        <v>Average 2011-19</v>
      </c>
      <c r="S41" s="138" t="s">
        <v>183</v>
      </c>
      <c r="T41" s="138" t="s">
        <v>181</v>
      </c>
      <c r="V41" s="1"/>
      <c r="W41" s="1"/>
      <c r="X41" s="1"/>
      <c r="Y41" s="1"/>
      <c r="Z41" s="78" t="s">
        <v>152</v>
      </c>
      <c r="AA41" s="1"/>
    </row>
    <row r="42" spans="3:27">
      <c r="C42" s="51" t="s">
        <v>1</v>
      </c>
      <c r="D42" s="140">
        <f>S42</f>
        <v>2.012578699942447E-2</v>
      </c>
      <c r="E42" s="2">
        <f>VLOOKUP(C42,'Calc|BushfireObligation_Actual'!$G$72:$H$76,2,FALSE)</f>
        <v>0.12310444176000505</v>
      </c>
      <c r="F42" s="43"/>
      <c r="P42" s="52" t="s">
        <v>1</v>
      </c>
      <c r="Q42" s="139">
        <f>Q24/Q33</f>
        <v>2.4713650869633983E-2</v>
      </c>
      <c r="R42" s="139">
        <f>R24/R33</f>
        <v>4.4839437869058453E-2</v>
      </c>
      <c r="S42" s="151">
        <f>R42-Q42</f>
        <v>2.012578699942447E-2</v>
      </c>
      <c r="T42" s="139">
        <f>'Bushfire obligations'!C39</f>
        <v>6.8319207417121483E-2</v>
      </c>
      <c r="V42" s="44"/>
      <c r="W42" s="6" t="s">
        <v>51</v>
      </c>
      <c r="X42" s="6" t="s">
        <v>52</v>
      </c>
      <c r="Y42" s="6" t="s">
        <v>50</v>
      </c>
      <c r="Z42" s="78" t="s">
        <v>184</v>
      </c>
      <c r="AA42" s="78" t="s">
        <v>185</v>
      </c>
    </row>
    <row r="43" spans="3:27">
      <c r="C43" s="51" t="s">
        <v>2</v>
      </c>
      <c r="D43" s="140">
        <f>S43</f>
        <v>0.11168932604937609</v>
      </c>
      <c r="E43" s="2">
        <f>VLOOKUP(C43,'Calc|BushfireObligation_Actual'!$G$72:$H$76,2,FALSE)</f>
        <v>0.30463843652160166</v>
      </c>
      <c r="F43" s="43"/>
      <c r="P43" s="52" t="s">
        <v>2</v>
      </c>
      <c r="Q43" s="139">
        <f>Q25/Q34</f>
        <v>9.3926501658505801E-2</v>
      </c>
      <c r="R43" s="139">
        <f>R25/R34</f>
        <v>0.20561582770788189</v>
      </c>
      <c r="S43" s="151">
        <f t="shared" ref="S43:S46" si="3">R43-Q43</f>
        <v>0.11168932604937609</v>
      </c>
      <c r="T43" s="139">
        <f>'Bushfire obligations'!C40</f>
        <v>0.11273198713447721</v>
      </c>
      <c r="V43" s="50" t="s">
        <v>73</v>
      </c>
      <c r="W43" s="50">
        <v>2006</v>
      </c>
      <c r="X43" s="50">
        <v>2012</v>
      </c>
      <c r="Y43" s="50">
        <v>2006</v>
      </c>
      <c r="Z43" s="108">
        <v>2006</v>
      </c>
      <c r="AA43" s="108">
        <v>2012</v>
      </c>
    </row>
    <row r="44" spans="3:27">
      <c r="C44" s="51" t="s">
        <v>10</v>
      </c>
      <c r="D44" s="140">
        <f>S44</f>
        <v>0</v>
      </c>
      <c r="E44" s="2">
        <f>VLOOKUP(C44,'Calc|BushfireObligation_Actual'!$G$72:$H$76,2,FALSE)</f>
        <v>0.32334500654131387</v>
      </c>
      <c r="F44" s="43"/>
      <c r="P44" s="52" t="s">
        <v>10</v>
      </c>
      <c r="Q44" s="139"/>
      <c r="R44" s="139"/>
      <c r="S44" s="151"/>
      <c r="T44" s="139"/>
      <c r="V44" s="50" t="s">
        <v>74</v>
      </c>
      <c r="W44" s="50">
        <v>2017</v>
      </c>
      <c r="X44" s="50">
        <v>2017</v>
      </c>
      <c r="Y44" s="50">
        <v>2013</v>
      </c>
      <c r="Z44" s="109">
        <v>2019</v>
      </c>
      <c r="AA44" s="109">
        <v>2019</v>
      </c>
    </row>
    <row r="45" spans="3:27">
      <c r="C45" s="51"/>
      <c r="D45" s="140"/>
      <c r="E45" s="2"/>
      <c r="F45" s="43"/>
      <c r="P45" s="52"/>
      <c r="Q45" s="139"/>
      <c r="R45" s="139"/>
      <c r="S45" s="151"/>
      <c r="T45" s="139"/>
      <c r="V45" s="108" t="s">
        <v>153</v>
      </c>
      <c r="W45" s="50">
        <f>W44-W43</f>
        <v>11</v>
      </c>
      <c r="X45" s="50">
        <f>X44-X43</f>
        <v>5</v>
      </c>
      <c r="Y45" s="50">
        <f>Y44-Y43</f>
        <v>7</v>
      </c>
      <c r="Z45" s="108">
        <f t="shared" ref="Z45:AA45" si="4">Z44-Z43</f>
        <v>13</v>
      </c>
      <c r="AA45" s="108">
        <f t="shared" si="4"/>
        <v>7</v>
      </c>
    </row>
    <row r="46" spans="3:27">
      <c r="C46" s="51" t="s">
        <v>3</v>
      </c>
      <c r="D46" s="140">
        <f>S46</f>
        <v>5.8588671221529137E-2</v>
      </c>
      <c r="E46" s="2">
        <f>VLOOKUP(C46,'Calc|BushfireObligation_Actual'!$G$72:$H$76,2,FALSE)</f>
        <v>0.24891211517707934</v>
      </c>
      <c r="F46" s="43"/>
      <c r="I46" s="134" t="s">
        <v>57</v>
      </c>
      <c r="P46" s="52" t="s">
        <v>3</v>
      </c>
      <c r="Q46" s="139">
        <f>Q28/Q37</f>
        <v>4.8718206846304263E-2</v>
      </c>
      <c r="R46" s="139">
        <f>R28/R37</f>
        <v>0.1073068780678334</v>
      </c>
      <c r="S46" s="151">
        <f t="shared" si="3"/>
        <v>5.8588671221529137E-2</v>
      </c>
      <c r="T46" s="139">
        <f>'Bushfire obligations'!C43</f>
        <v>5.5414142562983382E-2</v>
      </c>
      <c r="V46" s="110"/>
      <c r="W46" s="43"/>
      <c r="X46" s="43"/>
      <c r="Y46" s="50"/>
      <c r="Z46" s="108"/>
      <c r="AA46" s="108"/>
    </row>
    <row r="47" spans="3:27">
      <c r="C47" s="37" t="s">
        <v>55</v>
      </c>
      <c r="D47" s="37"/>
      <c r="E47" s="144">
        <f>SUMPRODUCT(D42:D46,E42:E46)</f>
        <v>5.1085865516543545E-2</v>
      </c>
      <c r="F47" s="43"/>
      <c r="I47" s="145">
        <f>E47</f>
        <v>5.1085865516543545E-2</v>
      </c>
      <c r="V47" s="129" t="s">
        <v>75</v>
      </c>
      <c r="W47" s="50">
        <v>2011</v>
      </c>
      <c r="X47" s="50">
        <v>2012</v>
      </c>
      <c r="Y47" s="50">
        <v>2011</v>
      </c>
      <c r="Z47" s="108">
        <v>2011</v>
      </c>
      <c r="AA47" s="108">
        <v>2012</v>
      </c>
    </row>
    <row r="48" spans="3:27">
      <c r="V48" s="130" t="s">
        <v>154</v>
      </c>
      <c r="W48" s="50">
        <f>W44-W47</f>
        <v>6</v>
      </c>
      <c r="X48" s="50">
        <f>X44-X47</f>
        <v>5</v>
      </c>
      <c r="Y48" s="50">
        <f>Y44-Y47</f>
        <v>2</v>
      </c>
      <c r="Z48" s="108">
        <f t="shared" ref="Z48:AA48" si="5">Z44-Z47</f>
        <v>8</v>
      </c>
      <c r="AA48" s="108">
        <f t="shared" si="5"/>
        <v>7</v>
      </c>
    </row>
    <row r="50" spans="3:23">
      <c r="C50" s="153" t="s">
        <v>157</v>
      </c>
      <c r="D50" s="153"/>
    </row>
    <row r="51" spans="3:23">
      <c r="C51" s="51" t="s">
        <v>1</v>
      </c>
      <c r="D51" s="152">
        <f>D42</f>
        <v>2.012578699942447E-2</v>
      </c>
      <c r="E51" s="2">
        <f>VLOOKUP(C51,'Calc|BushfireObligation_Actual'!$G$72:$H$76,2,FALSE)</f>
        <v>0.12310444176000505</v>
      </c>
      <c r="Q51" s="38" t="s">
        <v>179</v>
      </c>
      <c r="R51" s="34" t="s">
        <v>180</v>
      </c>
      <c r="S51" s="34"/>
      <c r="T51" s="34"/>
    </row>
    <row r="52" spans="3:23">
      <c r="C52" s="51" t="s">
        <v>2</v>
      </c>
      <c r="D52" s="152">
        <f>D43</f>
        <v>0.11168932604937609</v>
      </c>
      <c r="E52" s="2">
        <f>VLOOKUP(C52,'Calc|BushfireObligation_Actual'!$G$72:$H$76,2,FALSE)</f>
        <v>0.30463843652160166</v>
      </c>
      <c r="Q52" s="34" t="s">
        <v>166</v>
      </c>
      <c r="R52" s="147" t="s">
        <v>166</v>
      </c>
      <c r="S52" s="34"/>
      <c r="T52" s="34"/>
      <c r="U52" s="34"/>
    </row>
    <row r="53" spans="3:23">
      <c r="C53" s="51" t="s">
        <v>10</v>
      </c>
      <c r="D53" s="152">
        <f>D44</f>
        <v>0</v>
      </c>
      <c r="E53" s="2">
        <f>VLOOKUP(C53,'Calc|BushfireObligation_Actual'!$G$72:$H$76,2,FALSE)</f>
        <v>0.32334500654131387</v>
      </c>
      <c r="J53" s="16" t="s">
        <v>33</v>
      </c>
      <c r="K53" s="16"/>
      <c r="L53" s="16"/>
      <c r="M53" s="16"/>
      <c r="N53" s="16"/>
      <c r="O53" s="16"/>
      <c r="P53" s="16"/>
      <c r="Q53" s="33">
        <f>'Bushfire obligations source'!G75</f>
        <v>3.2126464628613731E-2</v>
      </c>
      <c r="R53" s="148">
        <f>T66</f>
        <v>3.2282939494710949E-2</v>
      </c>
      <c r="S53" s="34"/>
      <c r="T53" s="34"/>
      <c r="U53" s="49"/>
    </row>
    <row r="54" spans="3:23">
      <c r="C54" s="51"/>
      <c r="D54" s="152"/>
      <c r="E54" s="2"/>
      <c r="S54" s="34"/>
      <c r="T54" s="34"/>
    </row>
    <row r="55" spans="3:23">
      <c r="C55" s="51" t="s">
        <v>3</v>
      </c>
      <c r="D55" s="152">
        <f>D46</f>
        <v>5.8588671221529137E-2</v>
      </c>
      <c r="E55" s="2">
        <f>VLOOKUP(C55,'Calc|BushfireObligation_Actual'!$G$72:$H$76,2,FALSE)</f>
        <v>0.24891211517707934</v>
      </c>
      <c r="I55" s="134" t="s">
        <v>56</v>
      </c>
    </row>
    <row r="56" spans="3:23">
      <c r="C56" s="37" t="s">
        <v>55</v>
      </c>
      <c r="E56" s="144">
        <f>SUMPRODUCT(D51:D55,E51:E55)</f>
        <v>5.1085865516543545E-2</v>
      </c>
      <c r="I56" s="145">
        <f>E56</f>
        <v>5.1085865516543545E-2</v>
      </c>
    </row>
    <row r="58" spans="3:23" s="16" customFormat="1">
      <c r="C58" s="16" t="s">
        <v>176</v>
      </c>
    </row>
    <row r="60" spans="3:23" ht="29">
      <c r="D60" s="19"/>
      <c r="E60" s="138" t="s">
        <v>26</v>
      </c>
      <c r="F60" s="138" t="s">
        <v>27</v>
      </c>
      <c r="G60" s="138">
        <v>2009</v>
      </c>
      <c r="H60" s="138">
        <f>G60+1</f>
        <v>2010</v>
      </c>
      <c r="I60" s="138">
        <f t="shared" ref="I60" si="6">H60+1</f>
        <v>2011</v>
      </c>
      <c r="J60" s="138">
        <f t="shared" ref="J60" si="7">I60+1</f>
        <v>2012</v>
      </c>
      <c r="K60" s="138">
        <f t="shared" ref="K60" si="8">J60+1</f>
        <v>2013</v>
      </c>
      <c r="L60" s="138">
        <f t="shared" ref="L60" si="9">K60+1</f>
        <v>2014</v>
      </c>
      <c r="M60" s="138">
        <f t="shared" ref="M60" si="10">L60+1</f>
        <v>2015</v>
      </c>
      <c r="N60" s="138">
        <f t="shared" ref="N60" si="11">M60+1</f>
        <v>2016</v>
      </c>
      <c r="O60" s="138">
        <f t="shared" ref="O60" si="12">N60+1</f>
        <v>2017</v>
      </c>
      <c r="P60" s="138">
        <f t="shared" ref="P60:Q60" si="13">O60+1</f>
        <v>2018</v>
      </c>
      <c r="Q60" s="138">
        <f t="shared" si="13"/>
        <v>2019</v>
      </c>
      <c r="R60" s="138" t="s">
        <v>173</v>
      </c>
      <c r="S60" s="138" t="s">
        <v>182</v>
      </c>
      <c r="V60" s="23"/>
      <c r="W60" s="1"/>
    </row>
    <row r="61" spans="3:23">
      <c r="C61" s="75" t="s">
        <v>177</v>
      </c>
      <c r="D61" s="4" t="s">
        <v>166</v>
      </c>
      <c r="E61" s="4" t="s">
        <v>29</v>
      </c>
      <c r="F61" s="26" t="s">
        <v>171</v>
      </c>
      <c r="G61" s="137">
        <f>'[1]Vegetation management ($real)'!C14/10^3</f>
        <v>1089.639537780032</v>
      </c>
      <c r="H61" s="137">
        <f>'[1]Vegetation management ($real)'!D14/10^3</f>
        <v>1302.4817952535564</v>
      </c>
      <c r="I61" s="137">
        <f>'[1]Vegetation management ($real)'!E14/10^3</f>
        <v>2667.375871799361</v>
      </c>
      <c r="J61" s="137">
        <f>'[1]Vegetation management ($real)'!F14/10^3</f>
        <v>5273.5654156881219</v>
      </c>
      <c r="K61" s="137">
        <f>'[1]Vegetation management ($real)'!G14/10^3</f>
        <v>4884.4857958129696</v>
      </c>
      <c r="L61" s="137">
        <f>'[1]Vegetation management ($real)'!H14/10^3</f>
        <v>4223.3190419512193</v>
      </c>
      <c r="M61" s="137">
        <f>'[1]Vegetation management ($real)'!I14/10^3</f>
        <v>3677.3901257175635</v>
      </c>
      <c r="N61" s="137">
        <f>'[1]Vegetation management ($real)'!J14/10^3</f>
        <v>3896.6573363873276</v>
      </c>
      <c r="O61" s="137">
        <f>'[1]Vegetation management ($real)'!K14/10^3</f>
        <v>4417.2666851206532</v>
      </c>
      <c r="P61" s="137">
        <f>'[1]Vegetation management ($real)'!L14/10^3</f>
        <v>4074.8239873619632</v>
      </c>
      <c r="Q61" s="137">
        <f>'[1]Vegetation management ($real)'!M14/10^3</f>
        <v>3197.1804099999999</v>
      </c>
      <c r="R61" s="29">
        <f>AVERAGE(G61:H61)</f>
        <v>1196.0606665167943</v>
      </c>
      <c r="S61" s="29">
        <f>AVERAGE(I61:Q61)</f>
        <v>4034.6738522043534</v>
      </c>
      <c r="V61" s="24" t="s">
        <v>7</v>
      </c>
      <c r="W61" s="1" t="s">
        <v>198</v>
      </c>
    </row>
    <row r="62" spans="3:23">
      <c r="C62" s="75" t="s">
        <v>178</v>
      </c>
      <c r="D62" s="4" t="s">
        <v>166</v>
      </c>
      <c r="E62" s="4" t="s">
        <v>29</v>
      </c>
      <c r="F62" s="26" t="s">
        <v>171</v>
      </c>
      <c r="G62" s="137">
        <f>'[1]Total Cost ($real)'!F14/10^3</f>
        <v>59578.347106410874</v>
      </c>
      <c r="H62" s="137">
        <f>'[1]Total Cost ($real)'!G14/10^3</f>
        <v>70278.305756723465</v>
      </c>
      <c r="I62" s="137">
        <f>'[1]Total Cost ($real)'!H14/10^3</f>
        <v>69728.032014240001</v>
      </c>
      <c r="J62" s="137">
        <f>'[1]Total Cost ($real)'!I14/10^3</f>
        <v>79856.818376666284</v>
      </c>
      <c r="K62" s="137">
        <f>'[1]Total Cost ($real)'!J14/10^3</f>
        <v>76672.378972148552</v>
      </c>
      <c r="L62" s="137">
        <f>'[1]Total Cost ($real)'!K14/10^3</f>
        <v>76215.162086597658</v>
      </c>
      <c r="M62" s="137">
        <f>'[1]Total Cost ($real)'!L14/10^3</f>
        <v>78338.23497528286</v>
      </c>
      <c r="N62" s="137">
        <f>'[1]Total Cost ($real)'!M14/10^3</f>
        <v>83118.439943636375</v>
      </c>
      <c r="O62" s="137">
        <f>'[1]Total Cost ($real)'!N14/10^3</f>
        <v>87112.706123104377</v>
      </c>
      <c r="P62" s="137">
        <f>'[1]Total Cost ($real)'!O14/10^3</f>
        <v>80656.418110429455</v>
      </c>
      <c r="Q62" s="137">
        <f>'[1]Total Cost ($real)'!P14/10^3</f>
        <v>84456.982650000005</v>
      </c>
      <c r="R62" s="29">
        <f>AVERAGE(G62:H62)</f>
        <v>64928.326431567169</v>
      </c>
      <c r="S62" s="29">
        <f>AVERAGE(I62:Q62)</f>
        <v>79572.797028011715</v>
      </c>
      <c r="V62" s="24" t="s">
        <v>7</v>
      </c>
      <c r="W62" s="1" t="s">
        <v>198</v>
      </c>
    </row>
    <row r="64" spans="3:23">
      <c r="R64" s="141" t="s">
        <v>175</v>
      </c>
      <c r="S64" s="142"/>
      <c r="T64" s="143"/>
    </row>
    <row r="65" spans="1:23" ht="43.5">
      <c r="R65" s="138" t="str">
        <f>Q41</f>
        <v>Average 2009-10</v>
      </c>
      <c r="S65" s="138" t="str">
        <f>R41</f>
        <v>Average 2011-19</v>
      </c>
      <c r="T65" s="138" t="s">
        <v>183</v>
      </c>
    </row>
    <row r="66" spans="1:23">
      <c r="Q66" s="52" t="s">
        <v>166</v>
      </c>
      <c r="R66" s="139">
        <f>R61/R62</f>
        <v>1.8421245891458674E-2</v>
      </c>
      <c r="S66" s="139">
        <f>S61/S62</f>
        <v>5.0704185386169623E-2</v>
      </c>
      <c r="T66" s="151">
        <f t="shared" ref="T66" si="14">S66-R66</f>
        <v>3.2282939494710949E-2</v>
      </c>
    </row>
    <row r="68" spans="1:23" s="182" customFormat="1">
      <c r="C68" s="183" t="s">
        <v>186</v>
      </c>
    </row>
    <row r="70" spans="1:23">
      <c r="D70" s="1" t="s">
        <v>69</v>
      </c>
      <c r="G70" s="1" t="s">
        <v>76</v>
      </c>
      <c r="H70" s="1"/>
    </row>
    <row r="71" spans="1:23" s="36" customFormat="1" ht="43.5">
      <c r="D71" s="134"/>
      <c r="E71" s="192" t="s">
        <v>186</v>
      </c>
      <c r="F71" s="4" t="s">
        <v>8</v>
      </c>
      <c r="G71" s="51"/>
      <c r="H71" s="51" t="s">
        <v>70</v>
      </c>
    </row>
    <row r="72" spans="1:23" s="36" customFormat="1">
      <c r="A72" s="58"/>
      <c r="D72" s="4" t="s">
        <v>1</v>
      </c>
      <c r="E72" s="191">
        <f>[1]Customers!$Q$12</f>
        <v>345009</v>
      </c>
      <c r="F72" s="32">
        <f t="shared" ref="F72:F77" si="15">E72/$E$77</f>
        <v>9.677798041405028E-2</v>
      </c>
      <c r="G72" s="51" t="s">
        <v>1</v>
      </c>
      <c r="H72" s="105">
        <f>E72/(E$72+E$73+E$74+E$76)</f>
        <v>0.12310444176000505</v>
      </c>
      <c r="Q72" s="59"/>
      <c r="V72" s="59"/>
    </row>
    <row r="73" spans="1:23" s="36" customFormat="1">
      <c r="D73" s="4" t="s">
        <v>2</v>
      </c>
      <c r="E73" s="191">
        <f>[1]Customers!$Q$19</f>
        <v>853771</v>
      </c>
      <c r="F73" s="32">
        <f t="shared" si="15"/>
        <v>0.23949008030539529</v>
      </c>
      <c r="G73" s="51" t="s">
        <v>2</v>
      </c>
      <c r="H73" s="105">
        <f>E73/(E$72+E$73+E$74+E$76)</f>
        <v>0.30463843652160166</v>
      </c>
      <c r="I73" s="56"/>
      <c r="J73" s="56"/>
      <c r="K73" s="56"/>
      <c r="L73" s="56"/>
      <c r="M73" s="56"/>
      <c r="N73" s="56"/>
      <c r="O73" s="60"/>
    </row>
    <row r="74" spans="1:23" s="36" customFormat="1">
      <c r="D74" s="4" t="s">
        <v>10</v>
      </c>
      <c r="E74" s="191">
        <f>[1]Customers!$Q$20</f>
        <v>906197.49999999977</v>
      </c>
      <c r="F74" s="32">
        <f t="shared" si="15"/>
        <v>0.25419616272694712</v>
      </c>
      <c r="G74" s="51" t="s">
        <v>10</v>
      </c>
      <c r="H74" s="105">
        <f>E74/(E$72+E$73+E$74+E$76)</f>
        <v>0.32334500654131387</v>
      </c>
      <c r="I74" s="57"/>
      <c r="J74" s="57"/>
      <c r="K74" s="57"/>
      <c r="L74" s="57"/>
      <c r="M74" s="57"/>
      <c r="N74" s="57"/>
      <c r="O74" s="60"/>
      <c r="Q74" s="61"/>
      <c r="S74" s="62"/>
      <c r="V74" s="61"/>
      <c r="W74" s="62"/>
    </row>
    <row r="75" spans="1:23" s="36" customFormat="1">
      <c r="D75" s="4" t="s">
        <v>53</v>
      </c>
      <c r="E75" s="191">
        <f>[1]Customers!$Q$11</f>
        <v>762382</v>
      </c>
      <c r="F75" s="32">
        <f t="shared" si="15"/>
        <v>0.21385468281704095</v>
      </c>
      <c r="G75" s="51"/>
      <c r="H75" s="105"/>
      <c r="I75" s="57"/>
      <c r="J75" s="57"/>
      <c r="K75" s="57"/>
      <c r="L75" s="57"/>
      <c r="M75" s="57"/>
      <c r="N75" s="57"/>
      <c r="O75" s="60"/>
      <c r="Q75" s="61"/>
      <c r="S75" s="62"/>
      <c r="V75" s="61"/>
      <c r="W75" s="62"/>
    </row>
    <row r="76" spans="1:23" s="36" customFormat="1">
      <c r="D76" s="4" t="s">
        <v>3</v>
      </c>
      <c r="E76" s="191">
        <f>[1]Customers!$Q$22</f>
        <v>697594</v>
      </c>
      <c r="F76" s="32">
        <f t="shared" si="15"/>
        <v>0.19568109373656628</v>
      </c>
      <c r="G76" s="51" t="s">
        <v>3</v>
      </c>
      <c r="H76" s="105">
        <f>E76/(E$72+E$73+E$74+E$76)</f>
        <v>0.24891211517707934</v>
      </c>
      <c r="I76" s="57"/>
      <c r="J76" s="57"/>
      <c r="K76" s="57"/>
      <c r="L76" s="57"/>
      <c r="M76" s="57"/>
      <c r="N76" s="57"/>
      <c r="O76" s="60"/>
      <c r="Q76" s="61"/>
      <c r="S76" s="62"/>
      <c r="V76" s="61"/>
      <c r="W76" s="62"/>
    </row>
    <row r="77" spans="1:23" s="36" customFormat="1">
      <c r="D77" s="4" t="s">
        <v>0</v>
      </c>
      <c r="E77" s="30">
        <f>SUM(E72:E76)</f>
        <v>3564953.5</v>
      </c>
      <c r="F77" s="32">
        <f t="shared" si="15"/>
        <v>1</v>
      </c>
      <c r="G77" s="51" t="s">
        <v>0</v>
      </c>
      <c r="H77" s="105">
        <f>SUM(H72:H76)</f>
        <v>0.99999999999999989</v>
      </c>
      <c r="I77" s="57"/>
      <c r="J77" s="57"/>
      <c r="K77" s="57"/>
      <c r="L77" s="57"/>
      <c r="M77" s="57"/>
      <c r="N77" s="57"/>
      <c r="O77" s="60"/>
      <c r="Q77" s="61"/>
      <c r="S77" s="62"/>
      <c r="V77" s="61"/>
      <c r="W77" s="62"/>
    </row>
    <row r="78" spans="1:23" s="36" customFormat="1">
      <c r="G78" s="57"/>
      <c r="H78" s="57"/>
      <c r="I78" s="57"/>
      <c r="J78" s="57"/>
      <c r="K78" s="57"/>
      <c r="L78" s="57"/>
      <c r="M78" s="57"/>
      <c r="N78" s="57"/>
      <c r="O78" s="60"/>
      <c r="Q78" s="61"/>
      <c r="S78" s="62"/>
      <c r="V78" s="61"/>
      <c r="W78" s="62"/>
    </row>
    <row r="79" spans="1:23" s="175" customFormat="1" ht="13">
      <c r="B79" s="176" t="s">
        <v>199</v>
      </c>
      <c r="C79" s="177"/>
    </row>
  </sheetData>
  <mergeCells count="2">
    <mergeCell ref="Q13:R13"/>
    <mergeCell ref="Q40:T40"/>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topLeftCell="A1048576" zoomScaleNormal="100" workbookViewId="0"/>
  </sheetViews>
  <sheetFormatPr defaultRowHeight="14.5" zeroHeight="1"/>
  <sheetData>
    <row r="1" hidden="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2"/>
  <sheetViews>
    <sheetView zoomScaleNormal="100" workbookViewId="0"/>
  </sheetViews>
  <sheetFormatPr defaultRowHeight="14.5"/>
  <cols>
    <col min="1" max="1" width="23.453125" bestFit="1" customWidth="1"/>
    <col min="3" max="3" width="10.453125" customWidth="1"/>
    <col min="5" max="5" width="22.453125" customWidth="1"/>
    <col min="6" max="7" width="9.1796875" customWidth="1"/>
    <col min="8" max="8" width="21.1796875" bestFit="1" customWidth="1"/>
    <col min="9" max="9" width="16.1796875" customWidth="1"/>
  </cols>
  <sheetData>
    <row r="1" spans="1:13">
      <c r="A1" s="6" t="s">
        <v>167</v>
      </c>
      <c r="H1" s="6" t="s">
        <v>169</v>
      </c>
    </row>
    <row r="2" spans="1:13">
      <c r="A2" s="6" t="s">
        <v>159</v>
      </c>
      <c r="E2" s="78" t="s">
        <v>158</v>
      </c>
      <c r="H2" s="6" t="s">
        <v>168</v>
      </c>
    </row>
    <row r="3" spans="1:13">
      <c r="A3" s="6" t="s">
        <v>155</v>
      </c>
      <c r="E3" s="78" t="s">
        <v>155</v>
      </c>
      <c r="K3" s="134"/>
      <c r="L3" s="134"/>
      <c r="M3" s="134"/>
    </row>
    <row r="4" spans="1:13">
      <c r="A4" s="39" t="s">
        <v>51</v>
      </c>
      <c r="B4" s="41" t="s">
        <v>4</v>
      </c>
      <c r="C4" s="42" t="s">
        <v>5</v>
      </c>
      <c r="E4" s="111" t="s">
        <v>100</v>
      </c>
      <c r="F4" s="112" t="s">
        <v>4</v>
      </c>
      <c r="G4" s="112" t="s">
        <v>5</v>
      </c>
      <c r="H4" s="136" t="s">
        <v>160</v>
      </c>
      <c r="I4" s="136" t="s">
        <v>113</v>
      </c>
      <c r="K4" s="134"/>
      <c r="L4" s="134"/>
      <c r="M4" s="134"/>
    </row>
    <row r="5" spans="1:13">
      <c r="A5" s="40" t="s">
        <v>65</v>
      </c>
      <c r="B5" s="114">
        <f>'Divison of responsibility'!D3</f>
        <v>2.7075100946640118E-2</v>
      </c>
      <c r="C5" s="118">
        <f>'Divison of responsibility'!D4</f>
        <v>2.7974665545302368E-2</v>
      </c>
      <c r="E5" s="113" t="s">
        <v>65</v>
      </c>
      <c r="F5" s="114">
        <f>'Divison of responsibility'!F3</f>
        <v>2.6974399634021928E-2</v>
      </c>
      <c r="G5" s="114">
        <f>'Divison of responsibility'!F4</f>
        <v>2.7428306421809712E-2</v>
      </c>
      <c r="H5" s="114">
        <v>0</v>
      </c>
      <c r="I5" s="114">
        <v>0</v>
      </c>
      <c r="K5" s="134"/>
      <c r="L5" s="134"/>
      <c r="M5" s="134"/>
    </row>
    <row r="6" spans="1:13">
      <c r="A6" s="40" t="s">
        <v>66</v>
      </c>
      <c r="B6" s="114">
        <v>0</v>
      </c>
      <c r="C6" s="118">
        <f>-'Bushfire obligations'!K4</f>
        <v>-3.2863120296577848E-2</v>
      </c>
      <c r="E6" s="113" t="s">
        <v>66</v>
      </c>
      <c r="F6" s="114">
        <v>0</v>
      </c>
      <c r="G6" s="114">
        <f>-'Bushfire obligations'!N4</f>
        <v>-3.4668786246939268E-2</v>
      </c>
      <c r="H6" s="114">
        <f>-'Bushfire obligations'!Q4</f>
        <v>-1.4898654167792355E-2</v>
      </c>
      <c r="I6" s="114">
        <f>-'Bushfire obligations'!S4</f>
        <v>3.4887787418041591E-2</v>
      </c>
      <c r="K6" s="134"/>
      <c r="L6" s="134"/>
      <c r="M6" s="134"/>
    </row>
    <row r="7" spans="1:13">
      <c r="A7" s="4" t="s">
        <v>0</v>
      </c>
      <c r="B7" s="120">
        <f>SUM(B5:B6)</f>
        <v>2.7075100946640118E-2</v>
      </c>
      <c r="C7" s="121">
        <f>SUM(C5:C6)</f>
        <v>-4.8884547512754797E-3</v>
      </c>
      <c r="E7" s="51" t="s">
        <v>0</v>
      </c>
      <c r="F7" s="115">
        <f>SUM(F5:F6)</f>
        <v>2.6974399634021928E-2</v>
      </c>
      <c r="G7" s="115">
        <f>SUM(G5:G6)</f>
        <v>-7.240479825129556E-3</v>
      </c>
      <c r="H7" s="115">
        <f>H5+H6</f>
        <v>-1.4898654167792355E-2</v>
      </c>
      <c r="I7" s="115">
        <f>I5+I6</f>
        <v>3.4887787418041591E-2</v>
      </c>
      <c r="K7" s="134"/>
      <c r="L7" s="134"/>
      <c r="M7" s="134"/>
    </row>
    <row r="8" spans="1:13">
      <c r="B8" s="2"/>
      <c r="C8" s="2"/>
      <c r="E8" s="1"/>
      <c r="F8" s="24"/>
      <c r="G8" s="24"/>
      <c r="H8" s="24"/>
      <c r="I8" s="24"/>
      <c r="K8" s="134"/>
      <c r="L8" s="134"/>
      <c r="M8" s="134"/>
    </row>
    <row r="9" spans="1:13">
      <c r="A9" s="39" t="s">
        <v>52</v>
      </c>
      <c r="B9" s="122" t="s">
        <v>4</v>
      </c>
      <c r="C9" s="123" t="s">
        <v>5</v>
      </c>
      <c r="E9" s="111" t="s">
        <v>101</v>
      </c>
      <c r="F9" s="116" t="s">
        <v>4</v>
      </c>
      <c r="G9" s="117" t="s">
        <v>5</v>
      </c>
      <c r="H9" s="116" t="s">
        <v>166</v>
      </c>
      <c r="I9" s="117" t="s">
        <v>53</v>
      </c>
      <c r="K9" s="134"/>
      <c r="L9" s="134"/>
      <c r="M9" s="134"/>
    </row>
    <row r="10" spans="1:13">
      <c r="A10" s="40" t="s">
        <v>65</v>
      </c>
      <c r="B10" s="114">
        <f>'Divison of responsibility'!E3</f>
        <v>2.5779091269511056E-2</v>
      </c>
      <c r="C10" s="118">
        <f>'Divison of responsibility'!E4</f>
        <v>2.5591861089877765E-2</v>
      </c>
      <c r="E10" s="113" t="s">
        <v>65</v>
      </c>
      <c r="F10" s="114">
        <f>'Divison of responsibility'!G3</f>
        <v>2.5814539198898423E-2</v>
      </c>
      <c r="G10" s="114">
        <f>'Divison of responsibility'!G4</f>
        <v>2.5158319930501882E-2</v>
      </c>
      <c r="H10" s="114">
        <v>0</v>
      </c>
      <c r="I10" s="114">
        <v>0</v>
      </c>
      <c r="K10" s="134"/>
      <c r="L10" s="134"/>
      <c r="M10" s="134"/>
    </row>
    <row r="11" spans="1:13">
      <c r="A11" s="40" t="s">
        <v>66</v>
      </c>
      <c r="B11" s="114">
        <v>0</v>
      </c>
      <c r="C11" s="118">
        <f>-'Bushfire obligations'!L4</f>
        <v>-5.6336777651276308E-2</v>
      </c>
      <c r="E11" s="113" t="s">
        <v>66</v>
      </c>
      <c r="F11" s="114">
        <v>0</v>
      </c>
      <c r="G11" s="118">
        <f>-'Bushfire obligations'!O4</f>
        <v>-5.6336777651276308E-2</v>
      </c>
      <c r="H11" s="114">
        <f>-'Bushfire obligations'!R4</f>
        <v>-2.4210313022662577E-2</v>
      </c>
      <c r="I11" s="118">
        <f>-'Bushfire obligations'!T4</f>
        <v>5.669265455431758E-2</v>
      </c>
      <c r="K11" s="134"/>
      <c r="L11" s="134"/>
      <c r="M11" s="134"/>
    </row>
    <row r="12" spans="1:13">
      <c r="A12" s="4" t="s">
        <v>0</v>
      </c>
      <c r="B12" s="120">
        <f>SUM(B10:B11)</f>
        <v>2.5779091269511056E-2</v>
      </c>
      <c r="C12" s="121">
        <f>SUM(C10:C11)</f>
        <v>-3.0744916561398543E-2</v>
      </c>
      <c r="E12" s="51" t="s">
        <v>0</v>
      </c>
      <c r="F12" s="115">
        <f>SUM(F10:F11)</f>
        <v>2.5814539198898423E-2</v>
      </c>
      <c r="G12" s="119">
        <f>SUM(G10:G11)</f>
        <v>-3.1178457720774426E-2</v>
      </c>
      <c r="H12" s="115">
        <f t="shared" ref="H12:I12" si="0">H10+H11</f>
        <v>-2.4210313022662577E-2</v>
      </c>
      <c r="I12" s="119">
        <f t="shared" si="0"/>
        <v>5.669265455431758E-2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7"/>
  <sheetViews>
    <sheetView topLeftCell="A13" zoomScaleNormal="100" workbookViewId="0"/>
  </sheetViews>
  <sheetFormatPr defaultRowHeight="14.5"/>
  <cols>
    <col min="1" max="1" width="15.7265625" customWidth="1"/>
    <col min="2" max="2" width="23.26953125" customWidth="1"/>
    <col min="3" max="3" width="17.54296875" customWidth="1"/>
    <col min="4" max="5" width="12.54296875" bestFit="1" customWidth="1"/>
    <col min="6" max="6" width="12.453125" customWidth="1"/>
    <col min="7" max="12" width="12.54296875" bestFit="1" customWidth="1"/>
    <col min="13" max="13" width="15.7265625" customWidth="1"/>
  </cols>
  <sheetData>
    <row r="1" spans="1:15" s="16" customFormat="1">
      <c r="A1" s="16" t="s">
        <v>23</v>
      </c>
      <c r="F1" s="16" t="s">
        <v>152</v>
      </c>
    </row>
    <row r="2" spans="1:15" ht="15" thickBot="1">
      <c r="D2" s="38" t="s">
        <v>51</v>
      </c>
      <c r="E2" s="38" t="s">
        <v>52</v>
      </c>
      <c r="F2" s="1" t="s">
        <v>97</v>
      </c>
      <c r="G2" s="1" t="s">
        <v>95</v>
      </c>
    </row>
    <row r="3" spans="1:15">
      <c r="C3" s="15" t="s">
        <v>4</v>
      </c>
      <c r="D3" s="47">
        <f>C45</f>
        <v>2.7075100946640118E-2</v>
      </c>
      <c r="E3" s="47">
        <f>D45</f>
        <v>2.5779091269511056E-2</v>
      </c>
      <c r="F3" s="124">
        <f t="shared" ref="F3:G3" si="0">E45</f>
        <v>2.6974399634021928E-2</v>
      </c>
      <c r="G3" s="124">
        <f t="shared" si="0"/>
        <v>2.5814539198898423E-2</v>
      </c>
    </row>
    <row r="4" spans="1:15" ht="15" thickBot="1">
      <c r="C4" s="5" t="s">
        <v>6</v>
      </c>
      <c r="D4" s="48">
        <f>C44</f>
        <v>2.7974665545302368E-2</v>
      </c>
      <c r="E4" s="48">
        <f>D44</f>
        <v>2.5591861089877765E-2</v>
      </c>
      <c r="F4" s="125">
        <f t="shared" ref="F4:G4" si="1">E44</f>
        <v>2.7428306421809712E-2</v>
      </c>
      <c r="G4" s="125">
        <f t="shared" si="1"/>
        <v>2.5158319930501882E-2</v>
      </c>
    </row>
    <row r="6" spans="1:15" s="16" customFormat="1">
      <c r="A6" s="16" t="s">
        <v>11</v>
      </c>
    </row>
    <row r="8" spans="1:15">
      <c r="B8" s="4"/>
      <c r="C8" s="4" t="s">
        <v>37</v>
      </c>
      <c r="D8" s="4" t="s">
        <v>38</v>
      </c>
      <c r="E8" s="4" t="s">
        <v>39</v>
      </c>
      <c r="F8" s="4" t="s">
        <v>40</v>
      </c>
    </row>
    <row r="9" spans="1:15">
      <c r="B9" s="4" t="s">
        <v>24</v>
      </c>
      <c r="C9" s="4">
        <v>4408</v>
      </c>
      <c r="D9" s="4">
        <v>36339</v>
      </c>
      <c r="E9" s="4">
        <f>D9</f>
        <v>36339</v>
      </c>
      <c r="F9" s="17">
        <f t="shared" ref="F9" si="2">C9/E9</f>
        <v>0.12130218222845979</v>
      </c>
      <c r="N9" t="s">
        <v>7</v>
      </c>
      <c r="O9" t="s">
        <v>45</v>
      </c>
    </row>
    <row r="11" spans="1:15" s="16" customFormat="1">
      <c r="A11" s="16" t="s">
        <v>12</v>
      </c>
    </row>
    <row r="12" spans="1:15">
      <c r="C12" s="10">
        <v>0.24</v>
      </c>
      <c r="N12" t="s">
        <v>7</v>
      </c>
      <c r="O12" t="s">
        <v>45</v>
      </c>
    </row>
    <row r="14" spans="1:15" s="16" customFormat="1">
      <c r="A14" s="16" t="s">
        <v>13</v>
      </c>
    </row>
    <row r="15" spans="1:15">
      <c r="C15" s="7">
        <f>(F9+C12)/2</f>
        <v>0.18065109111422989</v>
      </c>
      <c r="M15" s="7"/>
    </row>
    <row r="17" spans="1:15" s="16" customFormat="1">
      <c r="A17" s="16" t="s">
        <v>25</v>
      </c>
    </row>
    <row r="18" spans="1:15">
      <c r="C18" s="4" t="s">
        <v>16</v>
      </c>
      <c r="D18" s="4" t="s">
        <v>17</v>
      </c>
      <c r="E18" s="4" t="s">
        <v>18</v>
      </c>
      <c r="F18" s="4" t="s">
        <v>19</v>
      </c>
      <c r="G18" s="4" t="s">
        <v>20</v>
      </c>
      <c r="H18" s="4" t="s">
        <v>22</v>
      </c>
      <c r="I18" s="4" t="s">
        <v>61</v>
      </c>
      <c r="J18" s="4" t="s">
        <v>62</v>
      </c>
      <c r="K18" s="4" t="s">
        <v>63</v>
      </c>
      <c r="L18" s="4" t="s">
        <v>64</v>
      </c>
    </row>
    <row r="19" spans="1:15">
      <c r="A19" s="4" t="s">
        <v>21</v>
      </c>
      <c r="B19" s="4" t="s">
        <v>5</v>
      </c>
      <c r="C19" s="18">
        <v>270466.59799000004</v>
      </c>
      <c r="D19" s="18">
        <v>270621.21470000001</v>
      </c>
      <c r="E19" s="18">
        <v>345122.06182</v>
      </c>
      <c r="F19" s="18">
        <v>363976.48437000008</v>
      </c>
      <c r="G19" s="18">
        <v>298481.04830000014</v>
      </c>
      <c r="H19" s="18">
        <v>308046.36037000001</v>
      </c>
      <c r="I19" s="18">
        <v>362830.15773000004</v>
      </c>
      <c r="J19" s="18">
        <v>371607.978</v>
      </c>
      <c r="K19" s="18">
        <v>341013.31</v>
      </c>
      <c r="L19" s="18">
        <v>357962.68099999998</v>
      </c>
      <c r="M19" s="13"/>
      <c r="N19" t="s">
        <v>7</v>
      </c>
      <c r="O19" t="s">
        <v>43</v>
      </c>
    </row>
    <row r="20" spans="1:15">
      <c r="A20" s="4" t="s">
        <v>21</v>
      </c>
      <c r="B20" s="4" t="s">
        <v>4</v>
      </c>
      <c r="C20" s="18">
        <v>269392.65438000002</v>
      </c>
      <c r="D20" s="18">
        <v>278759.46135</v>
      </c>
      <c r="E20" s="18">
        <v>317627.73702</v>
      </c>
      <c r="F20" s="18">
        <v>350958.66492000007</v>
      </c>
      <c r="G20" s="18">
        <v>387877.9989499998</v>
      </c>
      <c r="H20" s="18">
        <v>365738.55767000001</v>
      </c>
      <c r="I20" s="18">
        <v>381461.5461299998</v>
      </c>
      <c r="J20" s="18">
        <v>344893.63842298696</v>
      </c>
      <c r="K20" s="18">
        <v>353346.31027999998</v>
      </c>
      <c r="L20" s="18">
        <v>362234.78839999996</v>
      </c>
      <c r="M20" s="13"/>
      <c r="N20" t="s">
        <v>7</v>
      </c>
      <c r="O20" t="s">
        <v>43</v>
      </c>
    </row>
    <row r="21" spans="1:15">
      <c r="B21" s="1"/>
      <c r="C21" s="1"/>
      <c r="D21" s="1"/>
      <c r="E21" s="1"/>
      <c r="F21" s="1"/>
      <c r="G21" s="1"/>
      <c r="H21" s="1"/>
      <c r="I21" s="1"/>
      <c r="J21" s="1"/>
      <c r="K21" s="1"/>
      <c r="L21" s="1"/>
    </row>
    <row r="22" spans="1:15">
      <c r="A22" s="51" t="s">
        <v>94</v>
      </c>
      <c r="B22" s="51" t="s">
        <v>5</v>
      </c>
      <c r="C22" s="69">
        <f>C19*'CPI-master'!F$8</f>
        <v>314666.22601650434</v>
      </c>
      <c r="D22" s="69">
        <f>D19*'CPI-master'!G$8</f>
        <v>308502.44517762464</v>
      </c>
      <c r="E22" s="69">
        <f>E19*'CPI-master'!H$8</f>
        <v>382875.35238028894</v>
      </c>
      <c r="F22" s="69">
        <f>F19*'CPI-master'!I$8</f>
        <v>392058.83837449912</v>
      </c>
      <c r="G22" s="69">
        <f>G19*'CPI-master'!J$8</f>
        <v>314575.61462990212</v>
      </c>
      <c r="H22" s="69">
        <f>H19*'CPI-master'!K$8</f>
        <v>315982.6692726622</v>
      </c>
      <c r="I22" s="69">
        <f>I19*'CPI-master'!L$8</f>
        <v>365893.45174460608</v>
      </c>
      <c r="J22" s="69">
        <f>J19*'CPI-master'!M$8</f>
        <v>368522.67190959409</v>
      </c>
      <c r="K22" s="69">
        <f>K19*'CPI-master'!N$8</f>
        <v>333263.00750000001</v>
      </c>
      <c r="L22" s="69">
        <f>L19*'CPI-master'!O$8</f>
        <v>343273.75742640498</v>
      </c>
      <c r="M22" s="14"/>
    </row>
    <row r="23" spans="1:15">
      <c r="A23" s="51" t="s">
        <v>94</v>
      </c>
      <c r="B23" s="51" t="s">
        <v>4</v>
      </c>
      <c r="C23" s="69">
        <f>C20*'CPI-master'!F$8</f>
        <v>313416.77863474021</v>
      </c>
      <c r="D23" s="69">
        <f>D20*'CPI-master'!G$8</f>
        <v>317779.87375530222</v>
      </c>
      <c r="E23" s="69">
        <f>E20*'CPI-master'!H$8</f>
        <v>352373.39246284828</v>
      </c>
      <c r="F23" s="69">
        <f>F20*'CPI-master'!I$8</f>
        <v>378036.63806513039</v>
      </c>
      <c r="G23" s="69">
        <f>G20*'CPI-master'!J$8</f>
        <v>408792.98908946058</v>
      </c>
      <c r="H23" s="69">
        <f>H20*'CPI-master'!K$8</f>
        <v>375161.2113504294</v>
      </c>
      <c r="I23" s="69">
        <f>I20*'CPI-master'!L$8</f>
        <v>384682.14079713868</v>
      </c>
      <c r="J23" s="69">
        <f>J20*'CPI-master'!M$8</f>
        <v>342030.13035489939</v>
      </c>
      <c r="K23" s="69">
        <f>K20*'CPI-master'!N$8</f>
        <v>345315.7123190909</v>
      </c>
      <c r="L23" s="69">
        <f>L20*'CPI-master'!O$8</f>
        <v>347370.55979482603</v>
      </c>
      <c r="M23" s="14"/>
    </row>
    <row r="24" spans="1:15">
      <c r="B24" s="1"/>
      <c r="C24" s="126"/>
      <c r="D24" s="126"/>
      <c r="E24" s="126"/>
      <c r="F24" s="126"/>
      <c r="G24" s="126"/>
      <c r="H24" s="126"/>
      <c r="I24" s="126"/>
      <c r="J24" s="126"/>
      <c r="K24" s="126"/>
      <c r="L24" s="126"/>
      <c r="M24" s="14"/>
    </row>
    <row r="25" spans="1:15" s="16" customFormat="1">
      <c r="A25" s="16" t="s">
        <v>41</v>
      </c>
    </row>
    <row r="26" spans="1:15">
      <c r="C26" s="4" t="s">
        <v>16</v>
      </c>
      <c r="D26" s="4" t="s">
        <v>17</v>
      </c>
      <c r="E26" s="4" t="s">
        <v>18</v>
      </c>
      <c r="F26" s="4" t="s">
        <v>19</v>
      </c>
      <c r="G26" s="4" t="s">
        <v>20</v>
      </c>
      <c r="H26" s="4" t="s">
        <v>22</v>
      </c>
      <c r="I26" s="4" t="s">
        <v>61</v>
      </c>
      <c r="J26" s="4" t="s">
        <v>62</v>
      </c>
      <c r="K26" s="4" t="s">
        <v>63</v>
      </c>
      <c r="L26" s="4" t="s">
        <v>64</v>
      </c>
    </row>
    <row r="27" spans="1:15">
      <c r="A27" s="4" t="s">
        <v>21</v>
      </c>
      <c r="B27" s="4" t="s">
        <v>5</v>
      </c>
      <c r="C27" s="18">
        <v>49615.292755649498</v>
      </c>
      <c r="D27" s="18">
        <v>54758.0078922666</v>
      </c>
      <c r="E27" s="18">
        <v>51880.950592984103</v>
      </c>
      <c r="F27" s="18">
        <v>63106.594255615797</v>
      </c>
      <c r="G27" s="18">
        <v>43652.748291793599</v>
      </c>
      <c r="H27" s="18">
        <v>43652.748291793599</v>
      </c>
      <c r="I27" s="18">
        <v>43652.748291793599</v>
      </c>
      <c r="J27" s="18">
        <v>43652.748291793599</v>
      </c>
      <c r="K27" s="18">
        <v>43652.748291793599</v>
      </c>
      <c r="L27" s="18">
        <v>43652.748291793599</v>
      </c>
      <c r="M27" s="13"/>
      <c r="N27" t="s">
        <v>7</v>
      </c>
      <c r="O27" t="s">
        <v>42</v>
      </c>
    </row>
    <row r="28" spans="1:15">
      <c r="A28" s="4" t="s">
        <v>21</v>
      </c>
      <c r="B28" s="4" t="s">
        <v>4</v>
      </c>
      <c r="C28" s="18">
        <v>44208.712720000702</v>
      </c>
      <c r="D28" s="18">
        <v>45237.995270002</v>
      </c>
      <c r="E28" s="18">
        <v>50239.66274</v>
      </c>
      <c r="F28" s="18">
        <v>49582.6436599999</v>
      </c>
      <c r="G28" s="18">
        <v>50894.171790000102</v>
      </c>
      <c r="H28" s="18">
        <v>50894.171790000102</v>
      </c>
      <c r="I28" s="18">
        <v>50894.171790000102</v>
      </c>
      <c r="J28" s="18">
        <v>50894.171790000102</v>
      </c>
      <c r="K28" s="18">
        <v>50894.171790000102</v>
      </c>
      <c r="L28" s="18">
        <v>50894.171790000102</v>
      </c>
      <c r="M28" s="13"/>
      <c r="N28" t="s">
        <v>7</v>
      </c>
      <c r="O28" t="s">
        <v>42</v>
      </c>
    </row>
    <row r="29" spans="1:15">
      <c r="B29" s="1"/>
      <c r="C29" s="1"/>
      <c r="D29" s="1"/>
      <c r="E29" s="1"/>
      <c r="F29" s="1"/>
      <c r="G29" s="1"/>
      <c r="H29" s="1"/>
      <c r="I29" s="1"/>
      <c r="J29" s="1"/>
      <c r="K29" s="1"/>
      <c r="L29" s="1"/>
    </row>
    <row r="30" spans="1:15">
      <c r="A30" s="51" t="s">
        <v>94</v>
      </c>
      <c r="B30" s="51" t="s">
        <v>5</v>
      </c>
      <c r="C30" s="127">
        <f>C27*'CPI-master'!F$8</f>
        <v>57723.419602081391</v>
      </c>
      <c r="D30" s="127">
        <f>D27*'CPI-master'!G$8</f>
        <v>62422.967639646442</v>
      </c>
      <c r="E30" s="127">
        <f>E27*'CPI-master'!H$8</f>
        <v>57556.266137727456</v>
      </c>
      <c r="F30" s="127">
        <f>F27*'CPI-master'!I$8</f>
        <v>67975.539904596182</v>
      </c>
      <c r="G30" s="127">
        <f>G27*'CPI-master'!J$8</f>
        <v>46006.572954586394</v>
      </c>
      <c r="H30" s="127">
        <f>H27*'CPI-master'!K$8</f>
        <v>44777.389707708127</v>
      </c>
      <c r="I30" s="127">
        <f>I27*'CPI-master'!L$8</f>
        <v>44021.298699510437</v>
      </c>
      <c r="J30" s="127">
        <f>J27*'CPI-master'!M$8</f>
        <v>43290.317724795314</v>
      </c>
      <c r="K30" s="127">
        <f>K27*'CPI-master'!N$8</f>
        <v>42660.640376071016</v>
      </c>
      <c r="L30" s="127">
        <f>L27*'CPI-master'!O$8</f>
        <v>41861.466916751218</v>
      </c>
      <c r="M30" s="14"/>
    </row>
    <row r="31" spans="1:15">
      <c r="A31" s="51" t="s">
        <v>94</v>
      </c>
      <c r="B31" s="51" t="s">
        <v>4</v>
      </c>
      <c r="C31" s="127">
        <f>C28*'CPI-master'!F$8</f>
        <v>51433.29672510903</v>
      </c>
      <c r="D31" s="127">
        <f>D28*'CPI-master'!G$8</f>
        <v>51570.355159334198</v>
      </c>
      <c r="E31" s="127">
        <f>E28*'CPI-master'!H$8</f>
        <v>55735.435960268311</v>
      </c>
      <c r="F31" s="127">
        <f>F28*'CPI-master'!I$8</f>
        <v>53408.1582510019</v>
      </c>
      <c r="G31" s="127">
        <f>G28*'CPI-master'!J$8</f>
        <v>53638.465366911871</v>
      </c>
      <c r="H31" s="127">
        <f>H28*'CPI-master'!K$8</f>
        <v>52205.376597566894</v>
      </c>
      <c r="I31" s="127">
        <f>I28*'CPI-master'!L$8</f>
        <v>51323.859919559211</v>
      </c>
      <c r="J31" s="127">
        <f>J28*'CPI-master'!M$8</f>
        <v>50471.618703182758</v>
      </c>
      <c r="K31" s="127">
        <f>K28*'CPI-master'!N$8</f>
        <v>49737.486067500104</v>
      </c>
      <c r="L31" s="127">
        <f>L28*'CPI-master'!O$8</f>
        <v>48805.740119759241</v>
      </c>
      <c r="M31" s="14"/>
    </row>
    <row r="32" spans="1:15">
      <c r="B32" s="1"/>
      <c r="C32" s="126"/>
      <c r="D32" s="126"/>
      <c r="E32" s="126"/>
      <c r="F32" s="126"/>
      <c r="G32" s="126"/>
      <c r="H32" s="126"/>
      <c r="I32" s="126"/>
      <c r="J32" s="126"/>
      <c r="K32" s="126"/>
      <c r="L32" s="126"/>
      <c r="M32" s="14"/>
    </row>
    <row r="33" spans="1:12" s="16" customFormat="1">
      <c r="A33" s="16" t="s">
        <v>14</v>
      </c>
    </row>
    <row r="34" spans="1:12" s="1" customFormat="1">
      <c r="C34" s="1" t="s">
        <v>51</v>
      </c>
      <c r="D34" s="1" t="s">
        <v>52</v>
      </c>
      <c r="E34" s="1" t="s">
        <v>97</v>
      </c>
      <c r="F34" s="128" t="s">
        <v>95</v>
      </c>
    </row>
    <row r="35" spans="1:12">
      <c r="B35" t="s">
        <v>5</v>
      </c>
      <c r="C35" s="11">
        <f>SUM(C30:K30)/SUM(C22:K22)</f>
        <v>0.15064055336895618</v>
      </c>
      <c r="D35" s="11">
        <f>SUM(F30:K30)/SUM(F22:K22)</f>
        <v>0.13812958756124089</v>
      </c>
      <c r="E35" s="128">
        <f>SUM(C30:L30)/SUM(C22:L22)</f>
        <v>0.14777701061084278</v>
      </c>
      <c r="F35" s="128">
        <f>SUM(F30:L30)/SUM(F22:L22)</f>
        <v>0.13584701685549905</v>
      </c>
    </row>
    <row r="36" spans="1:12">
      <c r="B36" t="s">
        <v>4</v>
      </c>
      <c r="C36" s="11">
        <f>SUM(C31:K31)/SUM(C23:K23)</f>
        <v>0.14592419112052496</v>
      </c>
      <c r="D36" s="11">
        <f>SUM(F31:K31)/SUM(F23:K23)</f>
        <v>0.13911474775794916</v>
      </c>
      <c r="E36" s="128">
        <f>SUM(C31:L31)/SUM(C23:L23)</f>
        <v>0.14539570604905</v>
      </c>
      <c r="F36" s="128">
        <f>SUM(F31:L31)/SUM(F23:L23)</f>
        <v>0.13930122575261503</v>
      </c>
    </row>
    <row r="38" spans="1:12" s="16" customFormat="1">
      <c r="A38" s="16" t="s">
        <v>44</v>
      </c>
    </row>
    <row r="39" spans="1:12">
      <c r="B39" t="str">
        <f>B35</f>
        <v>Ergon</v>
      </c>
      <c r="C39" s="2">
        <f t="shared" ref="C39:D39" si="3">$C$15*C35</f>
        <v>2.7213380332153314E-2</v>
      </c>
      <c r="D39" s="2">
        <f t="shared" si="3"/>
        <v>2.4953260708096722E-2</v>
      </c>
      <c r="E39" s="24">
        <f t="shared" ref="E39:F39" si="4">$C$15*E35</f>
        <v>2.6696078208447875E-2</v>
      </c>
      <c r="F39" s="24">
        <f t="shared" si="4"/>
        <v>2.4540911819559082E-2</v>
      </c>
      <c r="L39" s="12"/>
    </row>
    <row r="40" spans="1:12">
      <c r="B40" t="str">
        <f>B36</f>
        <v>Energex</v>
      </c>
      <c r="C40" s="2">
        <f t="shared" ref="C40:D40" si="5">$C$15*C36</f>
        <v>2.636136434588425E-2</v>
      </c>
      <c r="D40" s="2">
        <f t="shared" si="5"/>
        <v>2.5131230972554382E-2</v>
      </c>
      <c r="E40" s="24">
        <f t="shared" ref="E40:F40" si="6">$C$15*E36</f>
        <v>2.6265892941084716E-2</v>
      </c>
      <c r="F40" s="24">
        <f t="shared" si="6"/>
        <v>2.5164918425759564E-2</v>
      </c>
      <c r="L40" s="12"/>
    </row>
    <row r="42" spans="1:12" s="16" customFormat="1">
      <c r="A42" s="16" t="s">
        <v>15</v>
      </c>
    </row>
    <row r="43" spans="1:12" s="1" customFormat="1"/>
    <row r="44" spans="1:12">
      <c r="B44" t="s">
        <v>5</v>
      </c>
      <c r="C44" s="3">
        <f t="shared" ref="C44:D44" si="7">(1/(1-C39))-1</f>
        <v>2.7974665545302368E-2</v>
      </c>
      <c r="D44" s="3">
        <f t="shared" si="7"/>
        <v>2.5591861089877765E-2</v>
      </c>
      <c r="E44" s="3">
        <f t="shared" ref="E44:F44" si="8">(1/(1-E39))-1</f>
        <v>2.7428306421809712E-2</v>
      </c>
      <c r="F44" s="3">
        <f t="shared" si="8"/>
        <v>2.5158319930501882E-2</v>
      </c>
    </row>
    <row r="45" spans="1:12">
      <c r="B45" t="s">
        <v>4</v>
      </c>
      <c r="C45" s="3">
        <f t="shared" ref="C45:D45" si="9">(1/(1-C40))-1</f>
        <v>2.7075100946640118E-2</v>
      </c>
      <c r="D45" s="3">
        <f t="shared" si="9"/>
        <v>2.5779091269511056E-2</v>
      </c>
      <c r="E45" s="3">
        <f t="shared" ref="E45:F45" si="10">(1/(1-E40))-1</f>
        <v>2.6974399634021928E-2</v>
      </c>
      <c r="F45" s="3">
        <f t="shared" si="10"/>
        <v>2.5814539198898423E-2</v>
      </c>
    </row>
    <row r="47" spans="1:12" s="16" customFormat="1"/>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63"/>
  <sheetViews>
    <sheetView topLeftCell="A40" workbookViewId="0">
      <selection activeCell="R37" sqref="R37"/>
    </sheetView>
  </sheetViews>
  <sheetFormatPr defaultRowHeight="14.5"/>
  <cols>
    <col min="1" max="1" width="13.453125" customWidth="1"/>
    <col min="2" max="2" width="14.54296875" customWidth="1"/>
    <col min="3" max="3" width="12.54296875" bestFit="1" customWidth="1"/>
    <col min="4" max="4" width="16.7265625" customWidth="1"/>
    <col min="5" max="7" width="12.54296875" bestFit="1" customWidth="1"/>
    <col min="8" max="8" width="11.453125" customWidth="1"/>
    <col min="9" max="9" width="20.1796875" customWidth="1"/>
    <col min="10" max="10" width="21.1796875" bestFit="1" customWidth="1"/>
    <col min="11" max="11" width="11.81640625" customWidth="1"/>
    <col min="12" max="12" width="11.26953125" customWidth="1"/>
    <col min="13" max="13" width="53.1796875" customWidth="1"/>
    <col min="14" max="14" width="10" customWidth="1"/>
    <col min="15" max="15" width="9.54296875" customWidth="1"/>
    <col min="17" max="17" width="10.453125" customWidth="1"/>
    <col min="18" max="18" width="9.453125" customWidth="1"/>
  </cols>
  <sheetData>
    <row r="1" spans="1:20" s="16" customFormat="1" ht="38.25" customHeight="1">
      <c r="A1" s="16" t="s">
        <v>34</v>
      </c>
      <c r="N1" s="16" t="s">
        <v>170</v>
      </c>
      <c r="Q1" s="194" t="s">
        <v>160</v>
      </c>
      <c r="R1" s="194"/>
      <c r="S1" s="200" t="s">
        <v>32</v>
      </c>
      <c r="T1" s="200"/>
    </row>
    <row r="2" spans="1:20">
      <c r="J2" s="6" t="s">
        <v>50</v>
      </c>
      <c r="K2" s="6" t="s">
        <v>51</v>
      </c>
      <c r="L2" s="6" t="s">
        <v>52</v>
      </c>
      <c r="N2" s="1" t="s">
        <v>97</v>
      </c>
      <c r="O2" s="1" t="s">
        <v>95</v>
      </c>
      <c r="Q2" s="1" t="s">
        <v>97</v>
      </c>
      <c r="R2" s="1" t="s">
        <v>95</v>
      </c>
      <c r="S2" s="1" t="s">
        <v>97</v>
      </c>
      <c r="T2" s="1" t="s">
        <v>95</v>
      </c>
    </row>
    <row r="3" spans="1:20">
      <c r="B3" t="s">
        <v>60</v>
      </c>
      <c r="J3" s="33">
        <f>(J6*(P35+1))/(P32+1)</f>
        <v>2.5659261205249681E-2</v>
      </c>
      <c r="K3" s="33">
        <f>(J6*7)/12</f>
        <v>3.9914406319277278E-2</v>
      </c>
      <c r="L3" s="33">
        <f>(J6*6)/6</f>
        <v>6.8424696547332478E-2</v>
      </c>
      <c r="N3" s="1"/>
      <c r="O3" s="1"/>
    </row>
    <row r="4" spans="1:20">
      <c r="B4" t="s">
        <v>59</v>
      </c>
      <c r="J4" s="33"/>
      <c r="K4" s="49">
        <f>(K7*(N35+1))/(N32+1)</f>
        <v>3.2863120296577848E-2</v>
      </c>
      <c r="L4" s="49">
        <f>(L7*(O35+1)/(O32+1))</f>
        <v>5.6336777651276308E-2</v>
      </c>
      <c r="M4" s="49"/>
      <c r="N4" s="49">
        <f>(N7*(Q35+1))/(Q32+1)</f>
        <v>3.4668786246939268E-2</v>
      </c>
      <c r="O4" s="49">
        <f>(O7*(R35+1))/(R32+1)</f>
        <v>5.6336777651276308E-2</v>
      </c>
      <c r="Q4" s="131">
        <f>(Q7*(Q35+1))/(Q32+1)</f>
        <v>1.4898654167792355E-2</v>
      </c>
      <c r="R4" s="131">
        <f>(R7*(R35+1))/(R32+1)</f>
        <v>2.4210313022662577E-2</v>
      </c>
      <c r="S4" s="131">
        <f>(S7*(Q35+1))/(Q32+1)</f>
        <v>-3.4887787418041591E-2</v>
      </c>
      <c r="T4" s="131">
        <f>(T7*(R35+1))/(R32+1)</f>
        <v>-5.669265455431758E-2</v>
      </c>
    </row>
    <row r="5" spans="1:20">
      <c r="J5" s="34"/>
      <c r="K5" s="34"/>
      <c r="L5" s="34"/>
      <c r="N5" s="1"/>
      <c r="O5" s="1"/>
    </row>
    <row r="6" spans="1:20">
      <c r="B6" s="1" t="s">
        <v>71</v>
      </c>
      <c r="E6" s="9"/>
      <c r="J6" s="35">
        <f>SUMPRODUCT(C30:C34,'Customer weights'!D3:D7)</f>
        <v>6.8424696547332478E-2</v>
      </c>
      <c r="K6" s="34"/>
      <c r="L6" s="34"/>
      <c r="N6" s="1"/>
      <c r="O6" s="1"/>
    </row>
    <row r="7" spans="1:20">
      <c r="B7" s="1" t="s">
        <v>72</v>
      </c>
      <c r="E7" s="9"/>
      <c r="J7" s="35"/>
      <c r="K7" s="35">
        <f>H44</f>
        <v>5.6336777651276308E-2</v>
      </c>
      <c r="L7" s="35">
        <f>H53</f>
        <v>5.6336777651276308E-2</v>
      </c>
      <c r="N7" s="106">
        <f>K7</f>
        <v>5.6336777651276308E-2</v>
      </c>
      <c r="O7" s="106">
        <f>L7</f>
        <v>5.6336777651276308E-2</v>
      </c>
      <c r="Q7" s="132">
        <f>H53-K51</f>
        <v>2.4210313022662577E-2</v>
      </c>
      <c r="R7" s="133">
        <f>Q7</f>
        <v>2.4210313022662577E-2</v>
      </c>
      <c r="S7" s="132">
        <f>H53-L51</f>
        <v>-5.669265455431758E-2</v>
      </c>
      <c r="T7" s="133">
        <f>S7</f>
        <v>-5.669265455431758E-2</v>
      </c>
    </row>
    <row r="8" spans="1:20">
      <c r="N8" s="8"/>
      <c r="O8" s="8"/>
    </row>
    <row r="9" spans="1:20" s="16" customFormat="1">
      <c r="A9" s="16" t="s">
        <v>36</v>
      </c>
    </row>
    <row r="10" spans="1:20">
      <c r="B10" s="6"/>
      <c r="C10" s="6"/>
      <c r="D10" s="6"/>
      <c r="E10" s="6"/>
      <c r="F10" s="6"/>
      <c r="G10" s="6"/>
      <c r="H10" s="6"/>
      <c r="I10" s="6"/>
      <c r="J10" s="6"/>
      <c r="K10" s="20"/>
      <c r="L10" s="25"/>
      <c r="M10" s="1"/>
    </row>
    <row r="11" spans="1:20">
      <c r="B11" s="19"/>
      <c r="C11" s="28" t="s">
        <v>26</v>
      </c>
      <c r="D11" s="28" t="s">
        <v>27</v>
      </c>
      <c r="E11" s="28">
        <v>2011</v>
      </c>
      <c r="F11" s="28">
        <v>2012</v>
      </c>
      <c r="G11" s="28">
        <v>2013</v>
      </c>
      <c r="H11" s="28">
        <v>2014</v>
      </c>
      <c r="I11" s="28">
        <v>2015</v>
      </c>
      <c r="J11" s="28" t="s">
        <v>0</v>
      </c>
      <c r="L11" s="23"/>
    </row>
    <row r="12" spans="1:20">
      <c r="B12" s="4" t="s">
        <v>28</v>
      </c>
      <c r="C12" s="4" t="s">
        <v>29</v>
      </c>
      <c r="D12" s="26" t="s">
        <v>30</v>
      </c>
      <c r="E12" s="27">
        <v>1304</v>
      </c>
      <c r="F12" s="27">
        <v>3856</v>
      </c>
      <c r="G12" s="27">
        <v>4922</v>
      </c>
      <c r="H12" s="27">
        <v>3276</v>
      </c>
      <c r="I12" s="27">
        <v>3101</v>
      </c>
      <c r="J12" s="29">
        <f>SUM(E12:I12)</f>
        <v>16459</v>
      </c>
      <c r="L12" s="24" t="s">
        <v>7</v>
      </c>
      <c r="M12" t="s">
        <v>46</v>
      </c>
    </row>
    <row r="13" spans="1:20">
      <c r="B13" s="4" t="s">
        <v>31</v>
      </c>
      <c r="C13" s="4" t="s">
        <v>29</v>
      </c>
      <c r="D13" s="26" t="s">
        <v>30</v>
      </c>
      <c r="E13" s="107">
        <v>10951.944444444445</v>
      </c>
      <c r="F13" s="107">
        <f>27635.5550330177-(4982-4083)</f>
        <v>26736.555033017699</v>
      </c>
      <c r="G13" s="107">
        <f>31264.3235946202-(3931-3484)</f>
        <v>30817.3235946202</v>
      </c>
      <c r="H13" s="107">
        <f>14594.391212669-(3296-2963)</f>
        <v>14261.391212668999</v>
      </c>
      <c r="I13" s="107">
        <f>12781.2567880813-(2662-2442)</f>
        <v>12561.2567880813</v>
      </c>
      <c r="J13" s="29">
        <f t="shared" ref="J13:J16" si="0">SUM(E13:I13)</f>
        <v>95328.471072832646</v>
      </c>
      <c r="L13" s="24" t="s">
        <v>7</v>
      </c>
      <c r="M13" t="s">
        <v>47</v>
      </c>
    </row>
    <row r="14" spans="1:20">
      <c r="B14" s="4" t="s">
        <v>10</v>
      </c>
      <c r="C14" s="4" t="s">
        <v>29</v>
      </c>
      <c r="D14" s="26" t="s">
        <v>30</v>
      </c>
      <c r="E14" s="107">
        <v>0</v>
      </c>
      <c r="F14" s="107">
        <v>0</v>
      </c>
      <c r="G14" s="107">
        <v>0</v>
      </c>
      <c r="H14" s="107">
        <v>0</v>
      </c>
      <c r="I14" s="107">
        <v>0</v>
      </c>
      <c r="J14" s="68">
        <f t="shared" si="0"/>
        <v>0</v>
      </c>
      <c r="L14" s="24"/>
    </row>
    <row r="15" spans="1:20">
      <c r="B15" s="4" t="s">
        <v>32</v>
      </c>
      <c r="C15" s="4" t="s">
        <v>29</v>
      </c>
      <c r="D15" s="26" t="s">
        <v>30</v>
      </c>
      <c r="E15" s="107">
        <v>14595.592004589966</v>
      </c>
      <c r="F15" s="107">
        <v>18064.912007750758</v>
      </c>
      <c r="G15" s="107">
        <v>22586.90565630158</v>
      </c>
      <c r="H15" s="107">
        <v>22483.109782054187</v>
      </c>
      <c r="I15" s="107">
        <v>21951.248442144224</v>
      </c>
      <c r="J15" s="29">
        <f t="shared" si="0"/>
        <v>99681.767892840711</v>
      </c>
      <c r="L15" s="24" t="s">
        <v>7</v>
      </c>
      <c r="M15" t="s">
        <v>49</v>
      </c>
    </row>
    <row r="16" spans="1:20">
      <c r="B16" s="4" t="s">
        <v>3</v>
      </c>
      <c r="C16" s="4" t="s">
        <v>29</v>
      </c>
      <c r="D16" s="26" t="s">
        <v>30</v>
      </c>
      <c r="E16" s="107">
        <f>199+66+7348*(29914/31114)</f>
        <v>7329.6034582503053</v>
      </c>
      <c r="F16" s="107">
        <f>109+66+7276*(29914/31114)</f>
        <v>7170.3803432538407</v>
      </c>
      <c r="G16" s="107">
        <f>109+66+5500*(29914/31114)</f>
        <v>5462.8768400077133</v>
      </c>
      <c r="H16" s="107">
        <f>109+66+5500*(29914/31114)</f>
        <v>5462.8768400077133</v>
      </c>
      <c r="I16" s="107">
        <f>123+66+5491*(29914/31114)</f>
        <v>5468.2239506331553</v>
      </c>
      <c r="J16" s="29">
        <f t="shared" si="0"/>
        <v>30893.961432152726</v>
      </c>
      <c r="L16" s="24" t="s">
        <v>7</v>
      </c>
      <c r="M16" t="s">
        <v>48</v>
      </c>
    </row>
    <row r="17" spans="1:20">
      <c r="B17" s="6"/>
      <c r="C17" s="6"/>
      <c r="D17" s="6"/>
      <c r="E17" s="6"/>
      <c r="F17" s="6"/>
      <c r="G17" s="6"/>
      <c r="H17" s="6"/>
      <c r="I17" s="6"/>
      <c r="J17" s="6"/>
      <c r="K17" s="20"/>
      <c r="L17" s="25"/>
      <c r="M17" s="1"/>
    </row>
    <row r="18" spans="1:20" s="16" customFormat="1">
      <c r="A18" s="16" t="s">
        <v>35</v>
      </c>
    </row>
    <row r="19" spans="1:20">
      <c r="B19" s="6"/>
      <c r="C19" s="6"/>
      <c r="D19" s="6"/>
      <c r="E19" s="6"/>
      <c r="F19" s="6"/>
      <c r="G19" s="6"/>
      <c r="H19" s="6"/>
      <c r="I19" s="6"/>
      <c r="J19" s="6"/>
      <c r="K19" s="20"/>
      <c r="L19" s="25"/>
      <c r="M19" s="1"/>
    </row>
    <row r="20" spans="1:20">
      <c r="B20" s="19"/>
      <c r="C20" s="28" t="s">
        <v>26</v>
      </c>
      <c r="D20" s="28" t="s">
        <v>27</v>
      </c>
      <c r="E20" s="28">
        <v>2011</v>
      </c>
      <c r="F20" s="28">
        <v>2012</v>
      </c>
      <c r="G20" s="28">
        <v>2013</v>
      </c>
      <c r="H20" s="28">
        <v>2014</v>
      </c>
      <c r="I20" s="28">
        <v>2015</v>
      </c>
      <c r="J20" s="28" t="s">
        <v>0</v>
      </c>
      <c r="M20" s="19"/>
    </row>
    <row r="21" spans="1:20">
      <c r="B21" s="4" t="s">
        <v>28</v>
      </c>
      <c r="C21" s="4" t="s">
        <v>29</v>
      </c>
      <c r="D21" s="26" t="s">
        <v>30</v>
      </c>
      <c r="E21" s="30">
        <v>43858.971774193546</v>
      </c>
      <c r="F21" s="30">
        <v>48256.972111553783</v>
      </c>
      <c r="G21" s="30">
        <v>50806.51750972763</v>
      </c>
      <c r="H21" s="30">
        <v>48555.755907753635</v>
      </c>
      <c r="I21" s="30">
        <v>49434.99908568414</v>
      </c>
      <c r="J21" s="29">
        <f>SUM(E21:I21)</f>
        <v>240913.21638891273</v>
      </c>
      <c r="L21" s="24" t="s">
        <v>7</v>
      </c>
      <c r="M21" t="s">
        <v>46</v>
      </c>
    </row>
    <row r="22" spans="1:20">
      <c r="B22" s="4" t="s">
        <v>31</v>
      </c>
      <c r="C22" s="4" t="s">
        <v>29</v>
      </c>
      <c r="D22" s="26" t="s">
        <v>30</v>
      </c>
      <c r="E22" s="30">
        <v>149550.30241935485</v>
      </c>
      <c r="F22" s="30">
        <v>172047.24803877244</v>
      </c>
      <c r="G22" s="30">
        <v>180764.45308013679</v>
      </c>
      <c r="H22" s="30">
        <v>170758.62765462484</v>
      </c>
      <c r="I22" s="30">
        <v>172499.79559082392</v>
      </c>
      <c r="J22" s="29">
        <f>SUM(E22:I22)</f>
        <v>845620.42678371281</v>
      </c>
      <c r="L22" s="24" t="s">
        <v>7</v>
      </c>
      <c r="M22" t="s">
        <v>47</v>
      </c>
    </row>
    <row r="23" spans="1:20">
      <c r="B23" s="4" t="s">
        <v>10</v>
      </c>
      <c r="C23" s="4"/>
      <c r="D23" s="26"/>
      <c r="E23" s="30"/>
      <c r="F23" s="30"/>
      <c r="G23" s="30"/>
      <c r="H23" s="30"/>
      <c r="I23" s="30"/>
      <c r="J23" s="30"/>
      <c r="L23" s="24"/>
    </row>
    <row r="24" spans="1:20">
      <c r="B24" s="4" t="s">
        <v>32</v>
      </c>
      <c r="C24" s="4" t="s">
        <v>29</v>
      </c>
      <c r="D24" s="26" t="s">
        <v>30</v>
      </c>
      <c r="E24" s="30">
        <v>159408.1050056344</v>
      </c>
      <c r="F24" s="30">
        <v>169372.00285310971</v>
      </c>
      <c r="G24" s="30">
        <v>178159.61489371918</v>
      </c>
      <c r="H24" s="30">
        <v>186555.04621462707</v>
      </c>
      <c r="I24" s="30">
        <v>188415.06591136364</v>
      </c>
      <c r="J24" s="29">
        <f>SUM(E24:I24)</f>
        <v>881909.83487845398</v>
      </c>
      <c r="L24" s="24" t="s">
        <v>7</v>
      </c>
      <c r="M24" t="s">
        <v>49</v>
      </c>
    </row>
    <row r="25" spans="1:20">
      <c r="B25" s="4" t="s">
        <v>3</v>
      </c>
      <c r="C25" s="4" t="s">
        <v>29</v>
      </c>
      <c r="D25" s="26" t="s">
        <v>30</v>
      </c>
      <c r="E25" s="30">
        <v>106082.05645161291</v>
      </c>
      <c r="F25" s="30">
        <v>109639.84063745021</v>
      </c>
      <c r="G25" s="30">
        <v>110473.54085603113</v>
      </c>
      <c r="H25" s="30">
        <v>114860.1119863339</v>
      </c>
      <c r="I25" s="30">
        <v>116454.86172997825</v>
      </c>
      <c r="J25" s="29">
        <f>SUM(E25:I25)</f>
        <v>557510.4116614064</v>
      </c>
      <c r="L25" s="24" t="s">
        <v>7</v>
      </c>
      <c r="M25" t="s">
        <v>48</v>
      </c>
    </row>
    <row r="26" spans="1:20">
      <c r="B26" s="6"/>
      <c r="C26" s="6"/>
      <c r="D26" s="6"/>
      <c r="E26" s="21"/>
      <c r="F26" s="21"/>
      <c r="G26" s="21"/>
      <c r="H26" s="21"/>
      <c r="I26" s="21"/>
      <c r="J26" s="21"/>
      <c r="K26" s="21"/>
      <c r="L26" s="22"/>
      <c r="M26" s="22"/>
    </row>
    <row r="27" spans="1:20" s="16" customFormat="1">
      <c r="A27" s="16" t="s">
        <v>33</v>
      </c>
    </row>
    <row r="28" spans="1:20" s="1" customFormat="1">
      <c r="Q28" s="78" t="s">
        <v>152</v>
      </c>
    </row>
    <row r="29" spans="1:20" s="43" customFormat="1">
      <c r="B29" s="198" t="s">
        <v>67</v>
      </c>
      <c r="C29" s="198"/>
      <c r="L29" s="44"/>
      <c r="M29" s="44"/>
      <c r="N29" s="6" t="s">
        <v>51</v>
      </c>
      <c r="O29" s="6" t="s">
        <v>52</v>
      </c>
      <c r="P29" s="6" t="s">
        <v>50</v>
      </c>
      <c r="Q29" s="78" t="s">
        <v>97</v>
      </c>
      <c r="R29" s="78" t="s">
        <v>95</v>
      </c>
    </row>
    <row r="30" spans="1:20" s="43" customFormat="1">
      <c r="B30" s="52" t="s">
        <v>1</v>
      </c>
      <c r="C30" s="53">
        <f>J12/J21</f>
        <v>6.8319207417121483E-2</v>
      </c>
      <c r="M30" s="50" t="s">
        <v>73</v>
      </c>
      <c r="N30" s="50">
        <v>2006</v>
      </c>
      <c r="O30" s="50">
        <v>2012</v>
      </c>
      <c r="P30" s="50">
        <v>2006</v>
      </c>
      <c r="Q30" s="108">
        <v>2006</v>
      </c>
      <c r="R30" s="108">
        <v>2012</v>
      </c>
      <c r="S30" s="50"/>
      <c r="T30" s="50"/>
    </row>
    <row r="31" spans="1:20" s="43" customFormat="1">
      <c r="B31" s="52" t="s">
        <v>2</v>
      </c>
      <c r="C31" s="53">
        <f>J13/J22</f>
        <v>0.11273198713447721</v>
      </c>
      <c r="L31" s="45"/>
      <c r="M31" s="50" t="s">
        <v>74</v>
      </c>
      <c r="N31" s="50">
        <v>2017</v>
      </c>
      <c r="O31" s="50">
        <v>2017</v>
      </c>
      <c r="P31" s="50">
        <v>2013</v>
      </c>
      <c r="Q31" s="109">
        <v>2018</v>
      </c>
      <c r="R31" s="109">
        <v>2018</v>
      </c>
      <c r="T31" s="50"/>
    </row>
    <row r="32" spans="1:20" s="43" customFormat="1">
      <c r="B32" s="52" t="s">
        <v>10</v>
      </c>
      <c r="C32" s="53">
        <v>0</v>
      </c>
      <c r="M32" s="108" t="s">
        <v>153</v>
      </c>
      <c r="N32" s="50">
        <f>N31-N30</f>
        <v>11</v>
      </c>
      <c r="O32" s="50">
        <f>O31-O30</f>
        <v>5</v>
      </c>
      <c r="P32" s="50">
        <f>P31-P30</f>
        <v>7</v>
      </c>
      <c r="Q32" s="108">
        <f t="shared" ref="Q32:R32" si="1">Q31-Q30</f>
        <v>12</v>
      </c>
      <c r="R32" s="108">
        <f t="shared" si="1"/>
        <v>6</v>
      </c>
      <c r="T32" s="50"/>
    </row>
    <row r="33" spans="2:20" s="43" customFormat="1">
      <c r="B33" s="52" t="s">
        <v>53</v>
      </c>
      <c r="C33" s="53">
        <f>J15/J24</f>
        <v>0.11302943220559389</v>
      </c>
      <c r="M33" s="110"/>
      <c r="P33" s="50"/>
      <c r="Q33" s="108"/>
      <c r="R33" s="108"/>
      <c r="S33" s="50"/>
      <c r="T33" s="50"/>
    </row>
    <row r="34" spans="2:20" s="43" customFormat="1">
      <c r="B34" s="52" t="s">
        <v>3</v>
      </c>
      <c r="C34" s="53">
        <f>J16/J25</f>
        <v>5.5414142562983382E-2</v>
      </c>
      <c r="H34" s="50" t="s">
        <v>58</v>
      </c>
      <c r="M34" s="129" t="s">
        <v>75</v>
      </c>
      <c r="N34" s="50">
        <v>2011</v>
      </c>
      <c r="O34" s="50">
        <v>2012</v>
      </c>
      <c r="P34" s="50">
        <v>2011</v>
      </c>
      <c r="Q34" s="108">
        <v>2011</v>
      </c>
      <c r="R34" s="108">
        <v>2012</v>
      </c>
      <c r="S34" s="50"/>
      <c r="T34" s="50"/>
    </row>
    <row r="35" spans="2:20" s="43" customFormat="1">
      <c r="B35" s="54" t="s">
        <v>55</v>
      </c>
      <c r="C35" s="55">
        <f>SUMPRODUCT(C30:C34,'Customer weights'!D3:D7)</f>
        <v>6.8424696547332478E-2</v>
      </c>
      <c r="H35" s="46">
        <f>C35</f>
        <v>6.8424696547332478E-2</v>
      </c>
      <c r="M35" s="130" t="s">
        <v>154</v>
      </c>
      <c r="N35" s="50">
        <f>N31-N34</f>
        <v>6</v>
      </c>
      <c r="O35" s="50">
        <f>O31-O34</f>
        <v>5</v>
      </c>
      <c r="P35" s="50">
        <f>P31-P34</f>
        <v>2</v>
      </c>
      <c r="Q35" s="108">
        <f t="shared" ref="Q35:R35" si="2">Q31-Q34</f>
        <v>7</v>
      </c>
      <c r="R35" s="108">
        <f t="shared" si="2"/>
        <v>6</v>
      </c>
      <c r="S35" s="50"/>
      <c r="T35" s="50"/>
    </row>
    <row r="36" spans="2:20" s="43" customFormat="1">
      <c r="B36" s="50" t="s">
        <v>54</v>
      </c>
      <c r="C36" s="50"/>
    </row>
    <row r="37" spans="2:20">
      <c r="B37" s="36"/>
      <c r="M37" s="1"/>
      <c r="N37" s="1"/>
      <c r="O37" s="1"/>
      <c r="P37" s="1"/>
      <c r="Q37" s="1"/>
    </row>
    <row r="38" spans="2:20">
      <c r="B38" s="199" t="s">
        <v>156</v>
      </c>
      <c r="C38" s="199"/>
      <c r="D38" t="s">
        <v>68</v>
      </c>
      <c r="M38" s="1"/>
      <c r="N38" s="108"/>
      <c r="O38" s="108"/>
      <c r="P38" s="108"/>
      <c r="Q38" s="1"/>
    </row>
    <row r="39" spans="2:20">
      <c r="B39" s="51" t="s">
        <v>1</v>
      </c>
      <c r="C39" s="31">
        <f>C30</f>
        <v>6.8319207417121483E-2</v>
      </c>
      <c r="D39" s="2">
        <f>VLOOKUP(B39,'Customer weights'!$E$3:$F$7,2,FALSE)</f>
        <v>0.12520032882608462</v>
      </c>
      <c r="E39" s="43"/>
      <c r="F39" s="43"/>
      <c r="M39" s="1"/>
      <c r="N39" s="108"/>
      <c r="O39" s="108"/>
      <c r="P39" s="108"/>
      <c r="Q39" s="1"/>
    </row>
    <row r="40" spans="2:20">
      <c r="B40" s="51" t="s">
        <v>2</v>
      </c>
      <c r="C40" s="31">
        <f>C31</f>
        <v>0.11273198713447721</v>
      </c>
      <c r="D40" s="2">
        <f>VLOOKUP(B40,'Customer weights'!$E$3:$F$7,2,FALSE)</f>
        <v>0.30114072845269696</v>
      </c>
      <c r="E40" s="43"/>
      <c r="F40" s="43"/>
      <c r="M40" s="1"/>
      <c r="N40" s="108"/>
      <c r="O40" s="108"/>
      <c r="P40" s="110"/>
      <c r="Q40" s="1"/>
    </row>
    <row r="41" spans="2:20">
      <c r="B41" s="51" t="s">
        <v>10</v>
      </c>
      <c r="C41" s="31">
        <f>C32</f>
        <v>0</v>
      </c>
      <c r="D41" s="2">
        <f>VLOOKUP(B41,'Customer weights'!$E$3:$F$7,2,FALSE)</f>
        <v>0.32399347733584472</v>
      </c>
      <c r="E41" s="43"/>
      <c r="F41" s="43"/>
      <c r="M41" s="1"/>
      <c r="N41" s="1"/>
      <c r="O41" s="1"/>
      <c r="P41" s="1"/>
      <c r="Q41" s="1"/>
    </row>
    <row r="42" spans="2:20">
      <c r="B42" s="51"/>
      <c r="C42" s="31"/>
      <c r="D42" s="2"/>
      <c r="E42" s="43"/>
      <c r="F42" s="43"/>
    </row>
    <row r="43" spans="2:20">
      <c r="B43" s="51" t="s">
        <v>3</v>
      </c>
      <c r="C43" s="31">
        <f>C34</f>
        <v>5.5414142562983382E-2</v>
      </c>
      <c r="D43" s="2">
        <f>VLOOKUP(B43,'Customer weights'!$E$3:$F$7,2,FALSE)</f>
        <v>0.24966546538537374</v>
      </c>
      <c r="E43" s="43"/>
      <c r="F43" s="43"/>
      <c r="H43" t="s">
        <v>57</v>
      </c>
    </row>
    <row r="44" spans="2:20">
      <c r="B44" s="37" t="s">
        <v>55</v>
      </c>
      <c r="C44" s="37"/>
      <c r="D44" s="22">
        <f>SUMPRODUCT(C39:C43,D39:D43)</f>
        <v>5.6336777651276308E-2</v>
      </c>
      <c r="E44" s="43"/>
      <c r="F44" s="43"/>
      <c r="H44" s="46">
        <f>D44</f>
        <v>5.6336777651276308E-2</v>
      </c>
    </row>
    <row r="47" spans="2:20">
      <c r="B47" s="199" t="s">
        <v>157</v>
      </c>
      <c r="C47" s="199"/>
    </row>
    <row r="48" spans="2:20">
      <c r="B48" s="51" t="s">
        <v>1</v>
      </c>
      <c r="C48" s="31">
        <f>C30</f>
        <v>6.8319207417121483E-2</v>
      </c>
      <c r="D48" s="2">
        <f>VLOOKUP(B48,'Customer weights'!$E$3:$F$7,2,FALSE)</f>
        <v>0.12520032882608462</v>
      </c>
    </row>
    <row r="49" spans="2:13">
      <c r="B49" s="51" t="s">
        <v>2</v>
      </c>
      <c r="C49" s="31">
        <f t="shared" ref="C49:C52" si="3">C31</f>
        <v>0.11273198713447721</v>
      </c>
      <c r="D49" s="2">
        <f>VLOOKUP(B49,'Customer weights'!$E$3:$F$7,2,FALSE)</f>
        <v>0.30114072845269696</v>
      </c>
    </row>
    <row r="50" spans="2:13">
      <c r="B50" s="51" t="s">
        <v>10</v>
      </c>
      <c r="C50" s="31">
        <f t="shared" si="3"/>
        <v>0</v>
      </c>
      <c r="D50" s="2">
        <f>VLOOKUP(B50,'Customer weights'!$E$3:$F$7,2,FALSE)</f>
        <v>0.32399347733584472</v>
      </c>
      <c r="K50" t="s">
        <v>166</v>
      </c>
      <c r="L50" t="s">
        <v>53</v>
      </c>
    </row>
    <row r="51" spans="2:13">
      <c r="B51" s="51"/>
      <c r="C51" s="31"/>
      <c r="D51" s="2"/>
      <c r="I51" s="16" t="s">
        <v>33</v>
      </c>
      <c r="J51" s="16"/>
      <c r="K51" s="106">
        <f>'Bushfire obligations source'!G75</f>
        <v>3.2126464628613731E-2</v>
      </c>
      <c r="L51" s="135">
        <f>C33</f>
        <v>0.11302943220559389</v>
      </c>
    </row>
    <row r="52" spans="2:13">
      <c r="B52" s="51" t="s">
        <v>3</v>
      </c>
      <c r="C52" s="31">
        <f t="shared" si="3"/>
        <v>5.5414142562983382E-2</v>
      </c>
      <c r="D52" s="2">
        <f>VLOOKUP(B52,'Customer weights'!$E$3:$F$7,2,FALSE)</f>
        <v>0.24966546538537374</v>
      </c>
      <c r="H52" t="s">
        <v>56</v>
      </c>
    </row>
    <row r="53" spans="2:13">
      <c r="B53" s="37" t="s">
        <v>55</v>
      </c>
      <c r="D53" s="22">
        <f>SUMPRODUCT(C48:C52,D48:D52)</f>
        <v>5.6336777651276308E-2</v>
      </c>
      <c r="H53" s="46">
        <f>D53</f>
        <v>5.6336777651276308E-2</v>
      </c>
    </row>
    <row r="55" spans="2:13" s="1" customFormat="1"/>
    <row r="56" spans="2:13" s="1" customFormat="1">
      <c r="B56" s="78" t="s">
        <v>98</v>
      </c>
      <c r="M56" s="6" t="s">
        <v>99</v>
      </c>
    </row>
    <row r="57" spans="2:13" s="1" customFormat="1"/>
    <row r="58" spans="2:13" s="1" customFormat="1"/>
    <row r="59" spans="2:13" s="1" customFormat="1"/>
    <row r="60" spans="2:13" s="1" customFormat="1"/>
    <row r="61" spans="2:13" s="1" customFormat="1"/>
    <row r="62" spans="2:13" s="1" customFormat="1"/>
    <row r="63" spans="2:13" s="1" customFormat="1"/>
  </sheetData>
  <mergeCells count="5">
    <mergeCell ref="B29:C29"/>
    <mergeCell ref="B38:C38"/>
    <mergeCell ref="B47:C47"/>
    <mergeCell ref="Q1:R1"/>
    <mergeCell ref="S1:T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M126"/>
  <sheetViews>
    <sheetView topLeftCell="A61" workbookViewId="0"/>
  </sheetViews>
  <sheetFormatPr defaultRowHeight="14.5" outlineLevelRow="1"/>
  <cols>
    <col min="1" max="1" width="71.54296875" bestFit="1" customWidth="1"/>
    <col min="2" max="2" width="10.54296875" bestFit="1" customWidth="1"/>
    <col min="3" max="3" width="10.7265625" bestFit="1" customWidth="1"/>
    <col min="4" max="5" width="14.26953125" bestFit="1" customWidth="1"/>
    <col min="6" max="6" width="12.81640625" customWidth="1"/>
    <col min="7" max="8" width="14.26953125" bestFit="1" customWidth="1"/>
    <col min="9" max="9" width="9.54296875" hidden="1" customWidth="1"/>
    <col min="10" max="11" width="0" hidden="1" customWidth="1"/>
    <col min="12" max="12" width="78.7265625" customWidth="1"/>
    <col min="13" max="13" width="9.81640625" customWidth="1"/>
    <col min="14" max="14" width="9.453125" customWidth="1"/>
  </cols>
  <sheetData>
    <row r="2" spans="1:13" s="79" customFormat="1">
      <c r="A2" s="79" t="s">
        <v>28</v>
      </c>
    </row>
    <row r="4" spans="1:13">
      <c r="A4" s="6" t="s">
        <v>102</v>
      </c>
      <c r="B4" s="80">
        <v>2011</v>
      </c>
      <c r="C4" s="80">
        <v>2012</v>
      </c>
      <c r="D4" s="80">
        <v>2013</v>
      </c>
      <c r="E4" s="80">
        <v>2014</v>
      </c>
      <c r="F4" s="80">
        <v>2015</v>
      </c>
      <c r="G4" s="80" t="s">
        <v>0</v>
      </c>
      <c r="L4" t="s">
        <v>103</v>
      </c>
      <c r="M4" t="s">
        <v>104</v>
      </c>
    </row>
    <row r="5" spans="1:13" ht="15" thickBot="1">
      <c r="A5" t="s">
        <v>105</v>
      </c>
      <c r="B5" s="81">
        <v>1304</v>
      </c>
      <c r="C5" s="81">
        <v>3856</v>
      </c>
      <c r="D5" s="81">
        <v>4922</v>
      </c>
      <c r="E5" s="81">
        <v>3276</v>
      </c>
      <c r="F5" s="81">
        <v>3101</v>
      </c>
      <c r="G5" s="82">
        <f>SUM(B5:F5)</f>
        <v>16459</v>
      </c>
      <c r="L5" s="83" t="s">
        <v>106</v>
      </c>
      <c r="M5" t="s">
        <v>107</v>
      </c>
    </row>
    <row r="6" spans="1:13">
      <c r="B6" s="84" t="b">
        <v>1</v>
      </c>
      <c r="C6" s="84" t="b">
        <v>1</v>
      </c>
      <c r="D6" s="84" t="b">
        <v>1</v>
      </c>
      <c r="E6" s="84" t="b">
        <v>1</v>
      </c>
      <c r="F6" s="84" t="b">
        <v>1</v>
      </c>
      <c r="G6" s="84" t="b">
        <v>1</v>
      </c>
      <c r="L6" s="83"/>
    </row>
    <row r="7" spans="1:13">
      <c r="B7" s="85"/>
      <c r="C7" s="85"/>
      <c r="D7" s="85"/>
      <c r="E7" s="85"/>
      <c r="F7" s="85"/>
      <c r="G7" s="85"/>
    </row>
    <row r="8" spans="1:13">
      <c r="A8" s="6" t="s">
        <v>108</v>
      </c>
      <c r="B8" s="80">
        <v>2011</v>
      </c>
      <c r="C8" s="80">
        <v>2012</v>
      </c>
      <c r="D8" s="80">
        <v>2013</v>
      </c>
      <c r="E8" s="80">
        <v>2014</v>
      </c>
      <c r="F8" s="80">
        <v>2015</v>
      </c>
      <c r="G8" s="80" t="s">
        <v>0</v>
      </c>
    </row>
    <row r="9" spans="1:13">
      <c r="A9" t="s">
        <v>109</v>
      </c>
      <c r="B9" s="84">
        <v>44900</v>
      </c>
      <c r="C9" s="84">
        <v>50000</v>
      </c>
      <c r="D9" s="84">
        <v>53900</v>
      </c>
      <c r="E9" s="84">
        <v>52800</v>
      </c>
      <c r="F9" s="84">
        <v>55100</v>
      </c>
      <c r="G9" s="84">
        <f>SUM(B9:F9)</f>
        <v>256700</v>
      </c>
      <c r="L9" s="83" t="s">
        <v>110</v>
      </c>
      <c r="M9" t="s">
        <v>111</v>
      </c>
    </row>
    <row r="10" spans="1:13" ht="15" thickBot="1">
      <c r="A10" t="s">
        <v>112</v>
      </c>
      <c r="B10" s="81">
        <f>B9*G$84</f>
        <v>43858.971774193546</v>
      </c>
      <c r="C10" s="81">
        <f>C9*H$84</f>
        <v>48256.972111553783</v>
      </c>
      <c r="D10" s="81">
        <f>D9*I$84</f>
        <v>50806.51750972763</v>
      </c>
      <c r="E10" s="81">
        <f>E9*J$84</f>
        <v>48555.755907753635</v>
      </c>
      <c r="F10" s="81">
        <f>F9*K$84</f>
        <v>49434.99908568414</v>
      </c>
      <c r="G10" s="82">
        <f>SUM(B10:F10)</f>
        <v>240913.21638891273</v>
      </c>
    </row>
    <row r="11" spans="1:13">
      <c r="B11" s="84" t="b">
        <v>1</v>
      </c>
      <c r="C11" s="84" t="b">
        <v>1</v>
      </c>
      <c r="D11" s="84" t="b">
        <v>1</v>
      </c>
      <c r="E11" s="84" t="b">
        <v>1</v>
      </c>
      <c r="F11" s="84" t="b">
        <v>1</v>
      </c>
      <c r="G11" s="84" t="b">
        <v>1</v>
      </c>
    </row>
    <row r="12" spans="1:13">
      <c r="B12" s="80"/>
      <c r="C12" s="80"/>
      <c r="D12" s="80"/>
      <c r="E12" s="80"/>
      <c r="F12" s="80"/>
      <c r="G12" s="80"/>
    </row>
    <row r="13" spans="1:13" s="79" customFormat="1">
      <c r="A13" s="79" t="s">
        <v>113</v>
      </c>
      <c r="B13" s="86"/>
      <c r="C13" s="86"/>
      <c r="D13" s="86"/>
      <c r="E13" s="86"/>
      <c r="F13" s="86"/>
      <c r="G13" s="86"/>
    </row>
    <row r="14" spans="1:13">
      <c r="B14" s="80"/>
      <c r="C14" s="80"/>
      <c r="D14" s="80"/>
      <c r="E14" s="80"/>
      <c r="F14" s="80"/>
      <c r="G14" s="80"/>
    </row>
    <row r="15" spans="1:13">
      <c r="A15" s="6" t="s">
        <v>114</v>
      </c>
      <c r="B15" s="80">
        <v>2011</v>
      </c>
      <c r="C15" s="80">
        <v>2012</v>
      </c>
      <c r="D15" s="80">
        <v>2013</v>
      </c>
      <c r="E15" s="80">
        <v>2014</v>
      </c>
      <c r="F15" s="80">
        <v>2015</v>
      </c>
      <c r="G15" s="80" t="s">
        <v>0</v>
      </c>
    </row>
    <row r="16" spans="1:13">
      <c r="A16" t="s">
        <v>115</v>
      </c>
      <c r="B16" s="84">
        <v>304.39569200000005</v>
      </c>
      <c r="C16" s="84">
        <v>304.39569200000005</v>
      </c>
      <c r="D16" s="84">
        <v>304.39569200000005</v>
      </c>
      <c r="E16" s="84">
        <v>304.39569200000005</v>
      </c>
      <c r="F16" s="84">
        <v>304.39569200000005</v>
      </c>
      <c r="G16" s="84">
        <f t="shared" ref="G16:G20" si="0">SUM(B16:F16)</f>
        <v>1521.9784600000003</v>
      </c>
      <c r="L16" s="83" t="s">
        <v>116</v>
      </c>
      <c r="M16" t="s">
        <v>117</v>
      </c>
    </row>
    <row r="17" spans="1:13">
      <c r="A17" t="s">
        <v>118</v>
      </c>
      <c r="B17" s="84">
        <v>12758.496763962519</v>
      </c>
      <c r="C17" s="84">
        <v>15015.588000202839</v>
      </c>
      <c r="D17" s="84">
        <v>16541.214483957869</v>
      </c>
      <c r="E17" s="84">
        <v>16541.214483957869</v>
      </c>
      <c r="F17" s="84">
        <v>16541.214483957869</v>
      </c>
      <c r="G17" s="84">
        <f t="shared" si="0"/>
        <v>77397.728216038959</v>
      </c>
      <c r="L17" s="83" t="s">
        <v>116</v>
      </c>
      <c r="M17" t="s">
        <v>119</v>
      </c>
    </row>
    <row r="18" spans="1:13">
      <c r="A18" t="s">
        <v>120</v>
      </c>
      <c r="B18" s="84">
        <v>638.91391275328704</v>
      </c>
      <c r="C18" s="84">
        <v>638.91391275328704</v>
      </c>
      <c r="D18" s="84">
        <v>638.91391275328704</v>
      </c>
      <c r="E18" s="84">
        <v>638.91391275328704</v>
      </c>
      <c r="F18" s="84">
        <v>638.91391275328704</v>
      </c>
      <c r="G18" s="84">
        <f t="shared" si="0"/>
        <v>3194.5695637664353</v>
      </c>
      <c r="L18" s="83" t="s">
        <v>116</v>
      </c>
    </row>
    <row r="19" spans="1:13">
      <c r="A19" t="s">
        <v>121</v>
      </c>
      <c r="B19" s="84">
        <v>520.0759249811756</v>
      </c>
      <c r="C19" s="84">
        <v>520.0759249811756</v>
      </c>
      <c r="D19" s="84">
        <v>520.0759249811756</v>
      </c>
      <c r="E19" s="84">
        <v>520.0759249811756</v>
      </c>
      <c r="F19" s="84">
        <v>520.0759249811756</v>
      </c>
      <c r="G19" s="84">
        <f t="shared" si="0"/>
        <v>2600.3796249058778</v>
      </c>
      <c r="L19" s="83" t="s">
        <v>116</v>
      </c>
    </row>
    <row r="20" spans="1:13">
      <c r="A20" s="87" t="s">
        <v>122</v>
      </c>
      <c r="B20" s="88">
        <f>SUM(B16:B19)</f>
        <v>14221.882293696983</v>
      </c>
      <c r="C20" s="88">
        <f>SUM(C16:C19)</f>
        <v>16478.973529937302</v>
      </c>
      <c r="D20" s="88">
        <f>SUM(D16:D19)</f>
        <v>18004.600013692329</v>
      </c>
      <c r="E20" s="88">
        <f>SUM(E16:E19)</f>
        <v>18004.600013692329</v>
      </c>
      <c r="F20" s="88">
        <f>SUM(F16:F19)</f>
        <v>18004.600013692329</v>
      </c>
      <c r="G20" s="88">
        <f t="shared" si="0"/>
        <v>84714.655864711269</v>
      </c>
    </row>
    <row r="21" spans="1:13">
      <c r="A21" s="89" t="s">
        <v>123</v>
      </c>
      <c r="B21" s="90">
        <v>6.2361212704776974E-3</v>
      </c>
      <c r="C21" s="90">
        <v>2.0706778898408287E-2</v>
      </c>
      <c r="D21" s="90">
        <v>3.9474676905060534E-2</v>
      </c>
      <c r="E21" s="90">
        <v>6.1711346764736379E-2</v>
      </c>
      <c r="F21" s="90">
        <v>7.4369487386940047E-2</v>
      </c>
      <c r="G21" s="91"/>
    </row>
    <row r="22" spans="1:13">
      <c r="A22" s="87" t="s">
        <v>124</v>
      </c>
      <c r="B22" s="88">
        <f>B20*(1+B21)</f>
        <v>14310.571676374939</v>
      </c>
      <c r="C22" s="88">
        <f t="shared" ref="C22:F22" si="1">C20*(1+C21)</f>
        <v>16820.199991294437</v>
      </c>
      <c r="D22" s="88">
        <f t="shared" si="1"/>
        <v>18715.325782037682</v>
      </c>
      <c r="E22" s="88">
        <f t="shared" si="1"/>
        <v>19115.688128497673</v>
      </c>
      <c r="F22" s="88">
        <f t="shared" si="1"/>
        <v>19343.592887317522</v>
      </c>
      <c r="G22" s="88">
        <f>SUM(B22:F22)</f>
        <v>88305.378465522255</v>
      </c>
      <c r="L22" s="83" t="s">
        <v>116</v>
      </c>
      <c r="M22" t="s">
        <v>125</v>
      </c>
    </row>
    <row r="23" spans="1:13">
      <c r="A23" s="66" t="s">
        <v>126</v>
      </c>
      <c r="B23" s="92">
        <v>285.02032821502689</v>
      </c>
      <c r="C23" s="92">
        <v>1244.7120164563194</v>
      </c>
      <c r="D23" s="92">
        <v>3871.5798742638972</v>
      </c>
      <c r="E23" s="92">
        <v>3367.4216535565133</v>
      </c>
      <c r="F23" s="92">
        <v>2607.6555548267024</v>
      </c>
      <c r="G23" s="92">
        <f>SUM(B23:F23)</f>
        <v>11376.38942731846</v>
      </c>
      <c r="L23" s="83" t="s">
        <v>127</v>
      </c>
      <c r="M23" t="s">
        <v>128</v>
      </c>
    </row>
    <row r="24" spans="1:13" ht="15" thickBot="1">
      <c r="B24" s="81">
        <f>SUM(B22:B23)</f>
        <v>14595.592004589966</v>
      </c>
      <c r="C24" s="81">
        <f t="shared" ref="C24:F24" si="2">SUM(C22:C23)</f>
        <v>18064.912007750758</v>
      </c>
      <c r="D24" s="81">
        <f t="shared" si="2"/>
        <v>22586.90565630158</v>
      </c>
      <c r="E24" s="81">
        <f t="shared" si="2"/>
        <v>22483.109782054187</v>
      </c>
      <c r="F24" s="81">
        <f t="shared" si="2"/>
        <v>21951.248442144224</v>
      </c>
      <c r="G24" s="82">
        <f>SUM(B24:F24)</f>
        <v>99681.767892840711</v>
      </c>
    </row>
    <row r="25" spans="1:13">
      <c r="B25" s="84" t="b">
        <v>1</v>
      </c>
      <c r="C25" s="84" t="b">
        <v>1</v>
      </c>
      <c r="D25" s="84" t="b">
        <v>1</v>
      </c>
      <c r="E25" s="84" t="b">
        <v>1</v>
      </c>
      <c r="F25" s="84" t="b">
        <v>1</v>
      </c>
      <c r="G25" s="84" t="b">
        <v>1</v>
      </c>
    </row>
    <row r="26" spans="1:13">
      <c r="B26" s="80"/>
      <c r="C26" s="80"/>
      <c r="D26" s="80"/>
      <c r="E26" s="80"/>
      <c r="F26" s="80"/>
      <c r="G26" s="80"/>
    </row>
    <row r="27" spans="1:13">
      <c r="A27" s="6" t="s">
        <v>108</v>
      </c>
      <c r="B27" s="80">
        <v>2011</v>
      </c>
      <c r="C27" s="80">
        <v>2012</v>
      </c>
      <c r="D27" s="80">
        <v>2013</v>
      </c>
      <c r="E27" s="80">
        <v>2014</v>
      </c>
      <c r="F27" s="80">
        <v>2015</v>
      </c>
      <c r="G27" s="80" t="s">
        <v>0</v>
      </c>
    </row>
    <row r="28" spans="1:13">
      <c r="A28" t="s">
        <v>109</v>
      </c>
      <c r="B28" s="84">
        <v>162900</v>
      </c>
      <c r="C28" s="84">
        <v>174200</v>
      </c>
      <c r="D28" s="84">
        <v>184900</v>
      </c>
      <c r="E28" s="84">
        <v>199200</v>
      </c>
      <c r="F28" s="84">
        <v>207100</v>
      </c>
      <c r="G28" s="84">
        <f>SUM(B28:F28)</f>
        <v>928300</v>
      </c>
      <c r="L28" s="83" t="s">
        <v>129</v>
      </c>
      <c r="M28" t="s">
        <v>130</v>
      </c>
    </row>
    <row r="29" spans="1:13">
      <c r="A29" t="s">
        <v>112</v>
      </c>
      <c r="B29" s="84">
        <f>B28*G$84</f>
        <v>159123.08467741936</v>
      </c>
      <c r="C29" s="84">
        <f>C28*H$84</f>
        <v>168127.29083665338</v>
      </c>
      <c r="D29" s="84">
        <f>D28*I$84</f>
        <v>174288.03501945527</v>
      </c>
      <c r="E29" s="84">
        <f>E28*J$84</f>
        <v>183187.62456107055</v>
      </c>
      <c r="F29" s="84">
        <f>F28*K$84</f>
        <v>185807.41035653694</v>
      </c>
      <c r="G29" s="84">
        <f>SUM(B29:F29)</f>
        <v>870533.44545113551</v>
      </c>
      <c r="L29" s="83"/>
    </row>
    <row r="30" spans="1:13" ht="15" thickBot="1">
      <c r="A30" t="s">
        <v>131</v>
      </c>
      <c r="B30" s="81">
        <f>B29+B23</f>
        <v>159408.1050056344</v>
      </c>
      <c r="C30" s="81">
        <f t="shared" ref="C30:F30" si="3">C29+C23</f>
        <v>169372.00285310971</v>
      </c>
      <c r="D30" s="81">
        <f t="shared" si="3"/>
        <v>178159.61489371918</v>
      </c>
      <c r="E30" s="81">
        <f t="shared" si="3"/>
        <v>186555.04621462707</v>
      </c>
      <c r="F30" s="81">
        <f t="shared" si="3"/>
        <v>188415.06591136364</v>
      </c>
      <c r="G30" s="82">
        <f>SUM(B30:F30)</f>
        <v>881909.83487845398</v>
      </c>
      <c r="L30" s="83"/>
    </row>
    <row r="31" spans="1:13">
      <c r="B31" s="84" t="b">
        <v>1</v>
      </c>
      <c r="C31" s="84" t="b">
        <v>1</v>
      </c>
      <c r="D31" s="84" t="b">
        <v>1</v>
      </c>
      <c r="E31" s="84" t="b">
        <v>1</v>
      </c>
      <c r="F31" s="84" t="b">
        <v>1</v>
      </c>
      <c r="G31" s="84" t="b">
        <v>1</v>
      </c>
      <c r="L31" s="83"/>
    </row>
    <row r="32" spans="1:13">
      <c r="B32" s="80"/>
      <c r="C32" s="80"/>
      <c r="D32" s="80"/>
      <c r="E32" s="80"/>
      <c r="F32" s="80"/>
      <c r="G32" s="80"/>
      <c r="I32" s="93"/>
    </row>
    <row r="33" spans="1:13" s="79" customFormat="1">
      <c r="A33" s="79" t="s">
        <v>31</v>
      </c>
      <c r="B33" s="86"/>
      <c r="C33" s="86"/>
      <c r="D33" s="86"/>
      <c r="E33" s="86"/>
      <c r="F33" s="86"/>
      <c r="G33" s="86"/>
    </row>
    <row r="34" spans="1:13">
      <c r="B34" s="84"/>
      <c r="C34" s="84"/>
      <c r="D34" s="84"/>
      <c r="E34" s="84"/>
      <c r="F34" s="84"/>
      <c r="G34" s="84"/>
    </row>
    <row r="35" spans="1:13">
      <c r="A35" s="6" t="s">
        <v>114</v>
      </c>
      <c r="B35" s="80">
        <v>2011</v>
      </c>
      <c r="C35" s="80">
        <v>2012</v>
      </c>
      <c r="D35" s="80">
        <v>2013</v>
      </c>
      <c r="E35" s="80">
        <v>2014</v>
      </c>
      <c r="F35" s="80">
        <v>2015</v>
      </c>
      <c r="G35" s="80" t="s">
        <v>0</v>
      </c>
    </row>
    <row r="36" spans="1:13">
      <c r="A36" t="s">
        <v>105</v>
      </c>
      <c r="B36" s="84">
        <v>9043</v>
      </c>
      <c r="C36" s="84">
        <v>20745</v>
      </c>
      <c r="D36" s="84">
        <v>25424</v>
      </c>
      <c r="E36" s="84">
        <v>9389</v>
      </c>
      <c r="F36" s="84">
        <v>8210</v>
      </c>
      <c r="G36" s="84">
        <f t="shared" ref="G36:G39" si="4">SUM(B36:F36)</f>
        <v>72811</v>
      </c>
      <c r="L36" s="83" t="s">
        <v>106</v>
      </c>
      <c r="M36" s="94" t="s">
        <v>107</v>
      </c>
    </row>
    <row r="37" spans="1:13">
      <c r="A37" t="s">
        <v>132</v>
      </c>
      <c r="B37" s="84">
        <v>1908.9444444444446</v>
      </c>
      <c r="C37" s="84">
        <v>1908.9444444444446</v>
      </c>
      <c r="D37" s="84">
        <v>1908.9444444444446</v>
      </c>
      <c r="E37" s="84">
        <v>1908.9444444444446</v>
      </c>
      <c r="F37" s="84">
        <v>1908.9444444444446</v>
      </c>
      <c r="G37" s="84">
        <f t="shared" si="4"/>
        <v>9544.7222222222226</v>
      </c>
      <c r="L37" s="83" t="s">
        <v>116</v>
      </c>
      <c r="M37" s="94" t="s">
        <v>133</v>
      </c>
    </row>
    <row r="38" spans="1:13">
      <c r="A38" s="87" t="s">
        <v>134</v>
      </c>
      <c r="B38" s="88">
        <f>SUM(B36:B37)</f>
        <v>10951.944444444445</v>
      </c>
      <c r="C38" s="88">
        <f t="shared" ref="C38:G38" si="5">SUM(C36:C37)</f>
        <v>22653.944444444445</v>
      </c>
      <c r="D38" s="88">
        <f t="shared" si="5"/>
        <v>27332.944444444445</v>
      </c>
      <c r="E38" s="88">
        <f t="shared" si="5"/>
        <v>11297.944444444445</v>
      </c>
      <c r="F38" s="88">
        <f t="shared" si="5"/>
        <v>10118.944444444445</v>
      </c>
      <c r="G38" s="88">
        <f t="shared" si="5"/>
        <v>82355.722222222219</v>
      </c>
      <c r="L38" s="83" t="s">
        <v>116</v>
      </c>
      <c r="M38" s="94" t="s">
        <v>125</v>
      </c>
    </row>
    <row r="39" spans="1:13">
      <c r="A39" t="s">
        <v>135</v>
      </c>
      <c r="B39" s="84">
        <v>0</v>
      </c>
      <c r="C39" s="84">
        <v>4981.6105885732395</v>
      </c>
      <c r="D39" s="84">
        <v>3931.3791501757059</v>
      </c>
      <c r="E39" s="84">
        <v>3296.4467682245081</v>
      </c>
      <c r="F39" s="84">
        <v>2662.3123436368587</v>
      </c>
      <c r="G39" s="84">
        <f t="shared" si="4"/>
        <v>14871.748850610313</v>
      </c>
      <c r="L39" s="83" t="s">
        <v>136</v>
      </c>
      <c r="M39" s="94" t="s">
        <v>137</v>
      </c>
    </row>
    <row r="40" spans="1:13" ht="15" thickBot="1">
      <c r="B40" s="81">
        <f>SUM(B38:B39)</f>
        <v>10951.944444444445</v>
      </c>
      <c r="C40" s="81">
        <f t="shared" ref="C40:F40" si="6">SUM(C38:C39)</f>
        <v>27635.555033017685</v>
      </c>
      <c r="D40" s="81">
        <f t="shared" si="6"/>
        <v>31264.323594620153</v>
      </c>
      <c r="E40" s="81">
        <f t="shared" si="6"/>
        <v>14594.391212668954</v>
      </c>
      <c r="F40" s="81">
        <f t="shared" si="6"/>
        <v>12781.256788081304</v>
      </c>
      <c r="G40" s="82">
        <f>SUM(B40:F40)</f>
        <v>97227.47107283253</v>
      </c>
    </row>
    <row r="41" spans="1:13">
      <c r="B41" s="84" t="b">
        <v>1</v>
      </c>
      <c r="C41" s="84" t="b">
        <v>1</v>
      </c>
      <c r="D41" s="84" t="b">
        <v>1</v>
      </c>
      <c r="E41" s="84" t="b">
        <v>1</v>
      </c>
      <c r="F41" s="84" t="b">
        <v>1</v>
      </c>
      <c r="G41" s="84" t="b">
        <v>1</v>
      </c>
    </row>
    <row r="42" spans="1:13">
      <c r="B42" s="80"/>
      <c r="C42" s="80"/>
      <c r="D42" s="80"/>
      <c r="E42" s="80"/>
      <c r="F42" s="80"/>
      <c r="G42" s="80"/>
    </row>
    <row r="43" spans="1:13">
      <c r="A43" s="6" t="s">
        <v>108</v>
      </c>
      <c r="B43" s="80">
        <v>2011</v>
      </c>
      <c r="C43" s="80">
        <v>2012</v>
      </c>
      <c r="D43" s="80">
        <v>2013</v>
      </c>
      <c r="E43" s="80">
        <v>2014</v>
      </c>
      <c r="F43" s="80">
        <v>2015</v>
      </c>
      <c r="G43" s="80" t="s">
        <v>0</v>
      </c>
    </row>
    <row r="44" spans="1:13">
      <c r="A44" t="s">
        <v>109</v>
      </c>
      <c r="B44" s="84">
        <v>153100</v>
      </c>
      <c r="C44" s="84">
        <v>173100</v>
      </c>
      <c r="D44" s="84">
        <v>187600</v>
      </c>
      <c r="E44" s="84">
        <v>182100</v>
      </c>
      <c r="F44" s="84">
        <v>189300</v>
      </c>
      <c r="G44" s="84">
        <f>SUM(B44:F44)</f>
        <v>885200</v>
      </c>
      <c r="L44" s="83" t="s">
        <v>138</v>
      </c>
      <c r="M44" t="s">
        <v>130</v>
      </c>
    </row>
    <row r="45" spans="1:13">
      <c r="A45" t="s">
        <v>112</v>
      </c>
      <c r="B45" s="84">
        <f>B44*G$84</f>
        <v>149550.30241935485</v>
      </c>
      <c r="C45" s="84">
        <f>C44*H$84</f>
        <v>167065.6374501992</v>
      </c>
      <c r="D45" s="84">
        <f>D44*I$84</f>
        <v>176833.0739299611</v>
      </c>
      <c r="E45" s="84">
        <f>E44*J$84</f>
        <v>167462.18088640034</v>
      </c>
      <c r="F45" s="84">
        <f>F44*K$84</f>
        <v>169837.48324718708</v>
      </c>
      <c r="G45" s="84">
        <f>SUM(B45:F45)</f>
        <v>830748.67793310259</v>
      </c>
      <c r="L45" s="83"/>
    </row>
    <row r="46" spans="1:13" ht="15" thickBot="1">
      <c r="A46" t="s">
        <v>131</v>
      </c>
      <c r="B46" s="81">
        <f>B45+B39</f>
        <v>149550.30241935485</v>
      </c>
      <c r="C46" s="81">
        <f t="shared" ref="C46:F46" si="7">C45+C39</f>
        <v>172047.24803877244</v>
      </c>
      <c r="D46" s="81">
        <f t="shared" si="7"/>
        <v>180764.45308013679</v>
      </c>
      <c r="E46" s="81">
        <f t="shared" si="7"/>
        <v>170758.62765462484</v>
      </c>
      <c r="F46" s="81">
        <f t="shared" si="7"/>
        <v>172499.79559082392</v>
      </c>
      <c r="G46" s="82">
        <f>SUM(B46:F46)</f>
        <v>845620.42678371281</v>
      </c>
      <c r="L46" s="83"/>
    </row>
    <row r="47" spans="1:13">
      <c r="B47" s="84" t="b">
        <v>1</v>
      </c>
      <c r="C47" s="84" t="b">
        <v>1</v>
      </c>
      <c r="D47" s="84" t="b">
        <v>1</v>
      </c>
      <c r="E47" s="84" t="b">
        <v>1</v>
      </c>
      <c r="F47" s="84" t="b">
        <v>1</v>
      </c>
      <c r="G47" s="84" t="b">
        <v>1</v>
      </c>
      <c r="L47" s="83"/>
    </row>
    <row r="48" spans="1:13">
      <c r="B48" s="80"/>
      <c r="C48" s="80"/>
      <c r="D48" s="80"/>
      <c r="E48" s="80"/>
      <c r="F48" s="80"/>
      <c r="G48" s="80"/>
    </row>
    <row r="49" spans="1:13" s="79" customFormat="1">
      <c r="A49" s="79" t="s">
        <v>77</v>
      </c>
      <c r="B49" s="86"/>
      <c r="C49" s="86"/>
      <c r="D49" s="86"/>
      <c r="E49" s="86"/>
      <c r="F49" s="86"/>
      <c r="G49" s="86"/>
    </row>
    <row r="50" spans="1:13">
      <c r="B50" s="80"/>
      <c r="C50" s="80"/>
      <c r="D50" s="80"/>
      <c r="E50" s="80"/>
      <c r="F50" s="80"/>
      <c r="G50" s="80"/>
    </row>
    <row r="51" spans="1:13">
      <c r="A51" s="6" t="s">
        <v>114</v>
      </c>
      <c r="B51" s="80">
        <v>2011</v>
      </c>
      <c r="C51" s="80">
        <v>2012</v>
      </c>
      <c r="D51" s="80">
        <v>2013</v>
      </c>
      <c r="E51" s="80">
        <v>2014</v>
      </c>
      <c r="F51" s="80">
        <v>2015</v>
      </c>
      <c r="G51" s="80" t="s">
        <v>0</v>
      </c>
    </row>
    <row r="52" spans="1:13">
      <c r="A52" t="s">
        <v>139</v>
      </c>
      <c r="B52" s="84">
        <v>198.57142857142858</v>
      </c>
      <c r="C52" s="84">
        <v>108.57142857142858</v>
      </c>
      <c r="D52" s="84">
        <v>108.57142857142858</v>
      </c>
      <c r="E52" s="84">
        <v>108.57142857142858</v>
      </c>
      <c r="F52" s="84">
        <v>122.85714285714288</v>
      </c>
      <c r="G52" s="84">
        <f t="shared" ref="G52:G54" si="8">SUM(B52:F52)</f>
        <v>647.14285714285722</v>
      </c>
      <c r="L52" s="83" t="s">
        <v>116</v>
      </c>
      <c r="M52" t="s">
        <v>163</v>
      </c>
    </row>
    <row r="53" spans="1:13">
      <c r="A53" t="s">
        <v>140</v>
      </c>
      <c r="B53" s="84">
        <v>7347.5047287739835</v>
      </c>
      <c r="C53" s="84">
        <v>7275.5047287739835</v>
      </c>
      <c r="D53" s="84">
        <v>5499.9606008989831</v>
      </c>
      <c r="E53" s="84">
        <v>5499.9606008989831</v>
      </c>
      <c r="F53" s="84">
        <v>5491.1712157883585</v>
      </c>
      <c r="G53" s="84">
        <f t="shared" si="8"/>
        <v>31114.101875134293</v>
      </c>
      <c r="L53" s="83" t="s">
        <v>116</v>
      </c>
      <c r="M53" t="s">
        <v>119</v>
      </c>
    </row>
    <row r="54" spans="1:13">
      <c r="A54" t="s">
        <v>141</v>
      </c>
      <c r="B54" s="84">
        <v>65.668333333333322</v>
      </c>
      <c r="C54" s="84">
        <v>65.668333333333322</v>
      </c>
      <c r="D54" s="84">
        <v>65.668333333333322</v>
      </c>
      <c r="E54" s="84">
        <v>65.668333333333322</v>
      </c>
      <c r="F54" s="84">
        <v>65.668333333333322</v>
      </c>
      <c r="G54" s="84">
        <f t="shared" si="8"/>
        <v>328.34166666666658</v>
      </c>
      <c r="L54" s="83" t="s">
        <v>116</v>
      </c>
      <c r="M54" t="s">
        <v>117</v>
      </c>
    </row>
    <row r="55" spans="1:13" ht="15" thickBot="1">
      <c r="A55" s="87" t="s">
        <v>134</v>
      </c>
      <c r="B55" s="81">
        <f t="shared" ref="B55:E55" si="9">SUM(B52:B54)</f>
        <v>7611.744490678745</v>
      </c>
      <c r="C55" s="81">
        <f t="shared" si="9"/>
        <v>7449.744490678745</v>
      </c>
      <c r="D55" s="81">
        <f t="shared" si="9"/>
        <v>5674.2003628037446</v>
      </c>
      <c r="E55" s="81">
        <f t="shared" si="9"/>
        <v>5674.2003628037446</v>
      </c>
      <c r="F55" s="81">
        <f>SUM(F52:F54)</f>
        <v>5679.6966919788347</v>
      </c>
      <c r="G55" s="82">
        <f>SUM(B55:F55)</f>
        <v>32089.586398943815</v>
      </c>
      <c r="L55" s="83" t="s">
        <v>116</v>
      </c>
      <c r="M55" t="s">
        <v>125</v>
      </c>
    </row>
    <row r="56" spans="1:13">
      <c r="B56" s="84" t="b">
        <v>1</v>
      </c>
      <c r="C56" s="84" t="b">
        <v>1</v>
      </c>
      <c r="D56" s="84" t="b">
        <v>1</v>
      </c>
      <c r="E56" s="84" t="b">
        <v>1</v>
      </c>
      <c r="F56" s="84" t="b">
        <v>1</v>
      </c>
      <c r="G56" s="84" t="b">
        <v>1</v>
      </c>
      <c r="H56" s="67"/>
    </row>
    <row r="57" spans="1:13">
      <c r="B57" s="80"/>
      <c r="C57" s="80"/>
      <c r="D57" s="80"/>
      <c r="E57" s="80"/>
      <c r="F57" s="80"/>
      <c r="G57" s="80"/>
    </row>
    <row r="58" spans="1:13">
      <c r="A58" s="6" t="s">
        <v>108</v>
      </c>
      <c r="B58" s="80">
        <v>2011</v>
      </c>
      <c r="C58" s="80">
        <v>2012</v>
      </c>
      <c r="D58" s="80">
        <v>2013</v>
      </c>
      <c r="E58" s="80">
        <v>2014</v>
      </c>
      <c r="F58" s="80">
        <v>2015</v>
      </c>
      <c r="G58" s="80" t="s">
        <v>0</v>
      </c>
    </row>
    <row r="59" spans="1:13">
      <c r="A59" t="s">
        <v>109</v>
      </c>
      <c r="B59" s="84">
        <v>108600</v>
      </c>
      <c r="C59" s="84">
        <v>113600</v>
      </c>
      <c r="D59" s="84">
        <v>117200</v>
      </c>
      <c r="E59" s="84">
        <v>124900</v>
      </c>
      <c r="F59" s="84">
        <v>129800</v>
      </c>
      <c r="G59" s="84">
        <f>SUM(B59:F59)</f>
        <v>594100</v>
      </c>
      <c r="L59" s="83" t="s">
        <v>142</v>
      </c>
      <c r="M59" t="s">
        <v>143</v>
      </c>
    </row>
    <row r="60" spans="1:13">
      <c r="A60" t="s">
        <v>112</v>
      </c>
      <c r="B60" s="95">
        <f>B59*G$84</f>
        <v>106082.05645161291</v>
      </c>
      <c r="C60" s="95">
        <f>C59*H$84</f>
        <v>109639.84063745021</v>
      </c>
      <c r="D60" s="95">
        <f>D59*I$84</f>
        <v>110473.54085603113</v>
      </c>
      <c r="E60" s="95">
        <f>E59*J$84</f>
        <v>114860.1119863339</v>
      </c>
      <c r="F60" s="95">
        <f>F59*K$84</f>
        <v>116454.86172997825</v>
      </c>
      <c r="G60" s="96">
        <f>SUM(B60:F60)</f>
        <v>557510.4116614064</v>
      </c>
    </row>
    <row r="61" spans="1:13">
      <c r="B61" s="84" t="b">
        <v>1</v>
      </c>
      <c r="C61" s="84" t="b">
        <v>1</v>
      </c>
      <c r="D61" s="84" t="b">
        <v>1</v>
      </c>
      <c r="E61" s="84" t="b">
        <v>1</v>
      </c>
      <c r="F61" s="84" t="b">
        <v>1</v>
      </c>
      <c r="G61" s="84" t="b">
        <v>1</v>
      </c>
    </row>
    <row r="62" spans="1:13">
      <c r="B62" s="84"/>
      <c r="C62" s="84"/>
      <c r="D62" s="84"/>
      <c r="E62" s="84"/>
      <c r="F62" s="84"/>
      <c r="G62" s="84"/>
    </row>
    <row r="63" spans="1:13">
      <c r="A63" s="79" t="s">
        <v>160</v>
      </c>
    </row>
    <row r="65" spans="1:13">
      <c r="A65" s="6" t="s">
        <v>114</v>
      </c>
    </row>
    <row r="66" spans="1:13">
      <c r="A66" t="s">
        <v>140</v>
      </c>
      <c r="G66" s="1">
        <v>9016</v>
      </c>
      <c r="H66" s="1"/>
      <c r="L66" s="83" t="s">
        <v>116</v>
      </c>
      <c r="M66" t="s">
        <v>125</v>
      </c>
    </row>
    <row r="67" spans="1:13">
      <c r="A67" t="s">
        <v>139</v>
      </c>
      <c r="G67">
        <v>611</v>
      </c>
      <c r="L67" s="83" t="s">
        <v>116</v>
      </c>
      <c r="M67" t="s">
        <v>164</v>
      </c>
    </row>
    <row r="68" spans="1:13" outlineLevel="1">
      <c r="A68" t="s">
        <v>162</v>
      </c>
      <c r="G68">
        <f>1705*0</f>
        <v>0</v>
      </c>
    </row>
    <row r="69" spans="1:13">
      <c r="A69" t="s">
        <v>115</v>
      </c>
      <c r="G69">
        <v>32</v>
      </c>
      <c r="L69" s="83" t="s">
        <v>116</v>
      </c>
      <c r="M69" t="s">
        <v>117</v>
      </c>
    </row>
    <row r="70" spans="1:13" ht="15" thickBot="1">
      <c r="A70" s="87" t="s">
        <v>134</v>
      </c>
      <c r="G70" s="82">
        <f>G66+G67+G68+G69</f>
        <v>9659</v>
      </c>
    </row>
    <row r="72" spans="1:13">
      <c r="A72" s="6" t="s">
        <v>108</v>
      </c>
    </row>
    <row r="73" spans="1:13">
      <c r="A73" t="s">
        <v>109</v>
      </c>
      <c r="B73">
        <v>59.7</v>
      </c>
      <c r="C73">
        <v>60.1</v>
      </c>
      <c r="D73">
        <v>61.9</v>
      </c>
      <c r="E73">
        <v>69</v>
      </c>
      <c r="F73">
        <v>69.7</v>
      </c>
      <c r="G73">
        <f>SUM(B73:F73)</f>
        <v>320.40000000000003</v>
      </c>
      <c r="L73" s="83" t="s">
        <v>165</v>
      </c>
      <c r="M73" t="s">
        <v>143</v>
      </c>
    </row>
    <row r="74" spans="1:13" ht="15" thickBot="1">
      <c r="A74" t="s">
        <v>161</v>
      </c>
      <c r="B74" s="95">
        <f>B73*G$84</f>
        <v>58.31582661290323</v>
      </c>
      <c r="C74" s="95">
        <f>C73*H$84</f>
        <v>58.004880478087649</v>
      </c>
      <c r="D74" s="95">
        <f>D73*I$84</f>
        <v>58.347373540856033</v>
      </c>
      <c r="E74" s="95">
        <f>E73*J$84</f>
        <v>63.453544652178053</v>
      </c>
      <c r="F74" s="95">
        <f>F73*K$84</f>
        <v>62.533928063016056</v>
      </c>
      <c r="G74" s="82">
        <f>SUM(B74:F74)</f>
        <v>300.65555334704101</v>
      </c>
      <c r="H74" s="67"/>
    </row>
    <row r="75" spans="1:13">
      <c r="G75" s="2">
        <f>G70/1000/G74</f>
        <v>3.2126464628613731E-2</v>
      </c>
      <c r="H75" s="2"/>
    </row>
    <row r="76" spans="1:13">
      <c r="B76" s="84"/>
      <c r="C76" s="84"/>
      <c r="D76" s="84"/>
      <c r="E76" s="84"/>
      <c r="F76" s="84"/>
      <c r="G76" s="84"/>
    </row>
    <row r="78" spans="1:13" s="97" customFormat="1">
      <c r="A78" s="97" t="s">
        <v>144</v>
      </c>
    </row>
    <row r="79" spans="1:13">
      <c r="A79" s="1"/>
      <c r="B79" s="1">
        <v>2006</v>
      </c>
      <c r="C79" s="1">
        <v>2007</v>
      </c>
      <c r="D79" s="1">
        <v>2008</v>
      </c>
      <c r="E79" s="1">
        <v>2009</v>
      </c>
      <c r="F79" s="1">
        <v>2010</v>
      </c>
      <c r="G79" s="1">
        <v>2011</v>
      </c>
      <c r="H79" s="1">
        <v>2012</v>
      </c>
      <c r="I79" s="1">
        <v>2013</v>
      </c>
      <c r="J79" s="1">
        <v>2014</v>
      </c>
      <c r="K79" s="1">
        <v>2015</v>
      </c>
    </row>
    <row r="80" spans="1:13">
      <c r="A80" s="1" t="s">
        <v>78</v>
      </c>
      <c r="B80" s="98">
        <v>86.6</v>
      </c>
      <c r="C80" s="98">
        <v>89.1</v>
      </c>
      <c r="D80" s="98">
        <v>92.4</v>
      </c>
      <c r="E80" s="98">
        <v>94.3</v>
      </c>
      <c r="F80" s="98">
        <v>96.9</v>
      </c>
      <c r="G80" s="98">
        <v>99.8</v>
      </c>
      <c r="H80" s="98">
        <v>102</v>
      </c>
      <c r="I80" s="98">
        <v>104.8</v>
      </c>
      <c r="J80" s="98">
        <f>I80*1.025</f>
        <v>107.41999999999999</v>
      </c>
      <c r="K80" s="98">
        <f>J80*1.025</f>
        <v>110.10549999999998</v>
      </c>
    </row>
    <row r="81" spans="1:11">
      <c r="A81" s="1" t="s">
        <v>79</v>
      </c>
      <c r="B81" s="99">
        <v>85.9</v>
      </c>
      <c r="C81" s="99">
        <v>87.7</v>
      </c>
      <c r="D81" s="99">
        <v>91.6</v>
      </c>
      <c r="E81" s="99">
        <v>92.9</v>
      </c>
      <c r="F81" s="99">
        <v>95.8</v>
      </c>
      <c r="G81" s="99">
        <v>99.2</v>
      </c>
      <c r="H81" s="99">
        <v>100.4</v>
      </c>
      <c r="I81" s="99">
        <v>102.8</v>
      </c>
      <c r="J81" s="99">
        <f>I81*1.025</f>
        <v>105.36999999999999</v>
      </c>
      <c r="K81" s="99">
        <f>J81*1.025</f>
        <v>108.00424999999998</v>
      </c>
    </row>
    <row r="82" spans="1:11">
      <c r="A82" s="1" t="s">
        <v>80</v>
      </c>
      <c r="B82" s="1">
        <v>83.8</v>
      </c>
      <c r="C82" s="1">
        <v>86.6</v>
      </c>
      <c r="D82" s="1">
        <v>89.1</v>
      </c>
      <c r="E82" s="1">
        <v>92.4</v>
      </c>
      <c r="F82" s="1">
        <v>94.3</v>
      </c>
      <c r="G82" s="1">
        <v>96.9</v>
      </c>
      <c r="H82" s="1">
        <v>99.8</v>
      </c>
      <c r="I82" s="1">
        <v>102</v>
      </c>
      <c r="J82" s="1"/>
      <c r="K82" s="1"/>
    </row>
    <row r="83" spans="1:11">
      <c r="A83" s="1"/>
      <c r="B83" s="100"/>
      <c r="C83" s="100"/>
      <c r="D83" s="100"/>
      <c r="E83" s="100"/>
      <c r="F83" s="100"/>
      <c r="G83" s="100"/>
      <c r="H83" s="100"/>
      <c r="I83" s="100"/>
      <c r="J83" s="1"/>
      <c r="K83" s="1"/>
    </row>
    <row r="84" spans="1:11">
      <c r="A84" s="1" t="s">
        <v>145</v>
      </c>
      <c r="B84" s="101">
        <f>$F80/B81</f>
        <v>1.1280558789289872</v>
      </c>
      <c r="C84" s="101">
        <f t="shared" ref="C84:E84" si="10">$F80/C81</f>
        <v>1.1049030786773091</v>
      </c>
      <c r="D84" s="101">
        <f t="shared" si="10"/>
        <v>1.0578602620087338</v>
      </c>
      <c r="E84" s="101">
        <f t="shared" si="10"/>
        <v>1.0430570505920345</v>
      </c>
      <c r="F84" s="101">
        <f>$F80/F81</f>
        <v>1.0114822546972861</v>
      </c>
      <c r="G84" s="101">
        <f t="shared" ref="G84:K84" si="11">$F80/G81</f>
        <v>0.97681451612903225</v>
      </c>
      <c r="H84" s="101">
        <f t="shared" si="11"/>
        <v>0.96513944223107573</v>
      </c>
      <c r="I84" s="101">
        <f t="shared" si="11"/>
        <v>0.94260700389105068</v>
      </c>
      <c r="J84" s="101">
        <f t="shared" si="11"/>
        <v>0.91961658916200073</v>
      </c>
      <c r="K84" s="101">
        <f t="shared" si="11"/>
        <v>0.89718691625561053</v>
      </c>
    </row>
    <row r="99" spans="2:8">
      <c r="B99" t="s">
        <v>146</v>
      </c>
    </row>
    <row r="100" spans="2:8">
      <c r="B100" s="102"/>
      <c r="C100" s="102">
        <v>2011</v>
      </c>
      <c r="D100" s="102">
        <v>2012</v>
      </c>
      <c r="E100" s="102">
        <v>2013</v>
      </c>
      <c r="F100" s="103">
        <v>2014</v>
      </c>
      <c r="G100">
        <v>2015</v>
      </c>
      <c r="H100" t="s">
        <v>0</v>
      </c>
    </row>
    <row r="101" spans="2:8">
      <c r="B101" t="s">
        <v>147</v>
      </c>
    </row>
    <row r="102" spans="2:8">
      <c r="B102" s="104" t="s">
        <v>148</v>
      </c>
      <c r="C102" s="104">
        <v>0</v>
      </c>
      <c r="D102" s="104">
        <v>5241453.9131111111</v>
      </c>
      <c r="E102" s="104">
        <v>4242950.0941427452</v>
      </c>
      <c r="F102" s="104">
        <v>3649304.1282148105</v>
      </c>
      <c r="G102" s="104">
        <v>3023179.9242401491</v>
      </c>
      <c r="H102" s="104">
        <v>16156888.059708815</v>
      </c>
    </row>
    <row r="103" spans="2:8">
      <c r="B103" s="104" t="s">
        <v>149</v>
      </c>
      <c r="C103" s="104">
        <v>0</v>
      </c>
      <c r="D103" s="104">
        <v>16950093.01135594</v>
      </c>
      <c r="E103" s="104">
        <v>17635752.064936429</v>
      </c>
      <c r="F103" s="104">
        <v>18430015.322908316</v>
      </c>
      <c r="G103" s="104">
        <v>19249596.21917012</v>
      </c>
      <c r="H103" s="104">
        <v>72265456.618370801</v>
      </c>
    </row>
    <row r="104" spans="2:8">
      <c r="B104" s="104" t="s">
        <v>150</v>
      </c>
      <c r="C104" s="104"/>
      <c r="D104" s="104"/>
      <c r="E104" s="104"/>
      <c r="F104" s="104"/>
      <c r="G104" s="104"/>
      <c r="H104" s="104"/>
    </row>
    <row r="105" spans="2:8">
      <c r="B105" s="104" t="s">
        <v>148</v>
      </c>
      <c r="C105" s="104">
        <v>0</v>
      </c>
      <c r="D105" s="104">
        <v>2923324.9131111111</v>
      </c>
      <c r="E105" s="104">
        <v>1844629.5378350781</v>
      </c>
      <c r="F105" s="104">
        <v>1143343.3191684552</v>
      </c>
      <c r="G105" s="104">
        <v>404719.62243387738</v>
      </c>
      <c r="H105" s="104">
        <v>6316017.392548522</v>
      </c>
    </row>
    <row r="106" spans="2:8">
      <c r="B106" s="104" t="s">
        <v>149</v>
      </c>
      <c r="C106" s="104">
        <v>0</v>
      </c>
      <c r="D106" s="104">
        <v>16950093.01135594</v>
      </c>
      <c r="E106" s="104">
        <v>17635752.064936429</v>
      </c>
      <c r="F106" s="104">
        <v>18430015.322908316</v>
      </c>
      <c r="G106" s="104">
        <v>19249596.21917012</v>
      </c>
      <c r="H106" s="104">
        <v>72265456.618370801</v>
      </c>
    </row>
    <row r="107" spans="2:8">
      <c r="B107" s="104" t="s">
        <v>151</v>
      </c>
      <c r="C107" s="104"/>
      <c r="D107" s="104"/>
      <c r="E107" s="104"/>
      <c r="F107" s="104"/>
      <c r="G107" s="104"/>
      <c r="H107" s="104"/>
    </row>
    <row r="108" spans="2:8">
      <c r="B108" s="104" t="s">
        <v>148</v>
      </c>
      <c r="C108" s="104">
        <v>0</v>
      </c>
      <c r="D108" s="104">
        <v>2318129</v>
      </c>
      <c r="E108" s="104">
        <v>2398320.5563076669</v>
      </c>
      <c r="F108" s="104">
        <v>2505960.8090463551</v>
      </c>
      <c r="G108" s="104">
        <v>2618460.301806272</v>
      </c>
      <c r="H108" s="104">
        <v>9840870.667160295</v>
      </c>
    </row>
    <row r="109" spans="2:8">
      <c r="B109" s="104" t="s">
        <v>149</v>
      </c>
      <c r="C109" s="104">
        <v>0</v>
      </c>
      <c r="D109" s="104">
        <v>0</v>
      </c>
      <c r="E109" s="104">
        <v>0</v>
      </c>
      <c r="F109" s="104">
        <v>0</v>
      </c>
      <c r="G109" s="104">
        <v>0</v>
      </c>
      <c r="H109" s="104">
        <v>0</v>
      </c>
    </row>
    <row r="111" spans="2:8">
      <c r="D111" s="93">
        <f>D102*H84</f>
        <v>5058733.9061799468</v>
      </c>
      <c r="E111" s="93">
        <f>E102*I84</f>
        <v>3999434.4758991445</v>
      </c>
      <c r="F111" s="93">
        <f>F102*J84</f>
        <v>3355960.6152037126</v>
      </c>
      <c r="G111" s="93">
        <f>G102*K84</f>
        <v>2712357.4735148898</v>
      </c>
      <c r="H111" s="93">
        <f>SUM(D111:G111)</f>
        <v>15126486.470797693</v>
      </c>
    </row>
    <row r="113" spans="8:8">
      <c r="H113">
        <v>611</v>
      </c>
    </row>
    <row r="114" spans="8:8">
      <c r="H114">
        <v>4051</v>
      </c>
    </row>
    <row r="115" spans="8:8">
      <c r="H115">
        <v>3441</v>
      </c>
    </row>
    <row r="116" spans="8:8">
      <c r="H116">
        <v>312</v>
      </c>
    </row>
    <row r="117" spans="8:8">
      <c r="H117">
        <v>680</v>
      </c>
    </row>
    <row r="118" spans="8:8">
      <c r="H118">
        <f>SUM(H114:H117)</f>
        <v>8484</v>
      </c>
    </row>
    <row r="120" spans="8:8">
      <c r="H120">
        <v>9016</v>
      </c>
    </row>
    <row r="123" spans="8:8">
      <c r="H123">
        <v>32</v>
      </c>
    </row>
    <row r="125" spans="8:8">
      <c r="H125">
        <v>1705</v>
      </c>
    </row>
    <row r="126" spans="8:8">
      <c r="H126">
        <f>H125+H120+H113+H123</f>
        <v>11364</v>
      </c>
    </row>
  </sheetData>
  <hyperlinks>
    <hyperlink ref="L16" r:id="rId1"/>
    <hyperlink ref="L9" r:id="rId2"/>
    <hyperlink ref="L44" r:id="rId3"/>
    <hyperlink ref="L28" r:id="rId4"/>
    <hyperlink ref="L59" r:id="rId5"/>
    <hyperlink ref="L5" r:id="rId6"/>
    <hyperlink ref="L17" r:id="rId7"/>
    <hyperlink ref="L18" r:id="rId8"/>
    <hyperlink ref="L19" r:id="rId9"/>
    <hyperlink ref="L54" r:id="rId10"/>
    <hyperlink ref="L53" r:id="rId11"/>
    <hyperlink ref="L37" r:id="rId12"/>
    <hyperlink ref="L36" r:id="rId13"/>
    <hyperlink ref="L22" r:id="rId14"/>
    <hyperlink ref="L38" r:id="rId15"/>
    <hyperlink ref="L55" r:id="rId16"/>
    <hyperlink ref="L39" r:id="rId17"/>
    <hyperlink ref="L23" r:id="rId18"/>
    <hyperlink ref="L52" r:id="rId19"/>
    <hyperlink ref="L66" r:id="rId20"/>
    <hyperlink ref="L67" r:id="rId21"/>
    <hyperlink ref="L69" r:id="rId22"/>
    <hyperlink ref="L73" r:id="rId23"/>
  </hyperlinks>
  <pageMargins left="0.7" right="0.7" top="0.75" bottom="0.75" header="0.3" footer="0.3"/>
  <pageSetup paperSize="9" orientation="portrait" r:id="rId24"/>
  <legacy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34"/>
  <sheetViews>
    <sheetView tabSelected="1" workbookViewId="0">
      <selection activeCell="E15" sqref="E15"/>
    </sheetView>
  </sheetViews>
  <sheetFormatPr defaultRowHeight="14.5"/>
  <cols>
    <col min="3" max="3" width="25.1796875" customWidth="1"/>
    <col min="4" max="4" width="11.1796875" bestFit="1" customWidth="1"/>
    <col min="5" max="5" width="15.7265625" customWidth="1"/>
    <col min="6" max="6" width="11.1796875" bestFit="1" customWidth="1"/>
    <col min="7" max="7" width="25.453125" customWidth="1"/>
    <col min="8" max="8" width="11.1796875" bestFit="1" customWidth="1"/>
    <col min="9" max="9" width="19.453125" customWidth="1"/>
    <col min="10" max="10" width="11.1796875" bestFit="1" customWidth="1"/>
    <col min="11" max="11" width="25.81640625" customWidth="1"/>
    <col min="12" max="15" width="11.1796875" bestFit="1" customWidth="1"/>
    <col min="16" max="16" width="10" bestFit="1" customWidth="1"/>
    <col min="17" max="18" width="14.7265625" bestFit="1" customWidth="1"/>
    <col min="20" max="20" width="14.7265625" bestFit="1" customWidth="1"/>
    <col min="22" max="22" width="14.7265625" bestFit="1" customWidth="1"/>
  </cols>
  <sheetData>
    <row r="1" spans="2:10">
      <c r="B1" s="1" t="s">
        <v>69</v>
      </c>
      <c r="E1" s="1" t="s">
        <v>76</v>
      </c>
      <c r="F1" s="1"/>
    </row>
    <row r="2" spans="2:10">
      <c r="C2" s="4" t="s">
        <v>210</v>
      </c>
      <c r="D2" s="4" t="s">
        <v>8</v>
      </c>
      <c r="E2" s="51"/>
      <c r="F2" s="51" t="s">
        <v>70</v>
      </c>
    </row>
    <row r="3" spans="2:10">
      <c r="B3" s="4" t="s">
        <v>1</v>
      </c>
      <c r="C3" s="30">
        <v>339400</v>
      </c>
      <c r="D3" s="32">
        <f>C3/$C$8</f>
        <v>9.8505311058672329E-2</v>
      </c>
      <c r="E3" s="51" t="s">
        <v>1</v>
      </c>
      <c r="F3" s="105">
        <f>C3/(C$3+C$4+C$5+C$7)</f>
        <v>0.12520032882608462</v>
      </c>
      <c r="G3" s="134"/>
      <c r="H3" s="134"/>
      <c r="I3" s="134"/>
      <c r="J3" s="134"/>
    </row>
    <row r="4" spans="2:10">
      <c r="B4" s="4" t="s">
        <v>2</v>
      </c>
      <c r="C4" s="30">
        <v>816349</v>
      </c>
      <c r="D4" s="32">
        <f>C4/$C$8</f>
        <v>0.23693197459468504</v>
      </c>
      <c r="E4" s="51" t="s">
        <v>2</v>
      </c>
      <c r="F4" s="105">
        <f>C4/(C$3+C$4+C$5+C$7)</f>
        <v>0.30114072845269696</v>
      </c>
      <c r="G4" s="134"/>
      <c r="H4" s="134"/>
      <c r="I4" s="134"/>
      <c r="J4" s="134"/>
    </row>
    <row r="5" spans="2:10">
      <c r="B5" s="4" t="s">
        <v>10</v>
      </c>
      <c r="C5" s="30">
        <v>878299.5</v>
      </c>
      <c r="D5" s="32">
        <f>C5/$C$8</f>
        <v>0.25491209619969468</v>
      </c>
      <c r="E5" s="51" t="s">
        <v>10</v>
      </c>
      <c r="F5" s="105">
        <f>C5/(C$3+C$4+C$5+C$7)</f>
        <v>0.32399347733584472</v>
      </c>
      <c r="G5" s="134"/>
      <c r="H5" s="134"/>
      <c r="I5" s="134"/>
      <c r="J5" s="134"/>
    </row>
    <row r="6" spans="2:10">
      <c r="B6" s="4" t="s">
        <v>53</v>
      </c>
      <c r="C6" s="30">
        <v>734644</v>
      </c>
      <c r="D6" s="32">
        <f>C6/$C$8</f>
        <v>0.21321843175423477</v>
      </c>
      <c r="E6" s="51"/>
      <c r="F6" s="105"/>
      <c r="G6" s="134"/>
      <c r="H6" s="134"/>
      <c r="I6" s="134"/>
      <c r="J6" s="134"/>
    </row>
    <row r="7" spans="2:10">
      <c r="B7" s="4" t="s">
        <v>3</v>
      </c>
      <c r="C7" s="30">
        <v>676807</v>
      </c>
      <c r="D7" s="32">
        <f>C7/$C$8</f>
        <v>0.19643218639271315</v>
      </c>
      <c r="E7" s="51" t="s">
        <v>3</v>
      </c>
      <c r="F7" s="105">
        <f>C7/(C$3+C$4+C$5+C$7)</f>
        <v>0.24966546538537374</v>
      </c>
      <c r="G7" s="134"/>
      <c r="H7" s="134"/>
      <c r="I7" s="134"/>
      <c r="J7" s="134"/>
    </row>
    <row r="8" spans="2:10">
      <c r="B8" s="4" t="s">
        <v>0</v>
      </c>
      <c r="C8" s="30">
        <f>SUM(C3:C7)</f>
        <v>3445499.5</v>
      </c>
      <c r="D8" s="17">
        <f>SUM(D3:D7)</f>
        <v>1</v>
      </c>
      <c r="E8" s="51" t="s">
        <v>0</v>
      </c>
      <c r="F8" s="105">
        <f>SUM(F3:F7)</f>
        <v>1</v>
      </c>
      <c r="G8" s="134"/>
      <c r="H8" s="134"/>
      <c r="I8" s="134"/>
      <c r="J8" s="134"/>
    </row>
    <row r="10" spans="2:10">
      <c r="B10" s="8" t="s">
        <v>7</v>
      </c>
      <c r="C10" t="s">
        <v>9</v>
      </c>
    </row>
    <row r="12" spans="2:10" s="36" customFormat="1"/>
    <row r="21" spans="7:23" s="36" customFormat="1">
      <c r="G21" s="57"/>
      <c r="H21" s="57"/>
      <c r="I21" s="57"/>
      <c r="J21" s="57"/>
      <c r="K21" s="57"/>
      <c r="L21" s="57"/>
      <c r="M21" s="57"/>
      <c r="N21" s="57"/>
      <c r="O21" s="60"/>
      <c r="P21" s="61"/>
      <c r="Q21" s="63"/>
      <c r="S21" s="64"/>
      <c r="V21" s="63"/>
      <c r="W21" s="64"/>
    </row>
    <row r="22" spans="7:23" s="36" customFormat="1">
      <c r="G22" s="65"/>
      <c r="H22" s="65"/>
      <c r="I22" s="65"/>
      <c r="J22" s="65"/>
      <c r="K22" s="65"/>
      <c r="L22" s="65"/>
      <c r="M22" s="65"/>
      <c r="N22" s="65"/>
      <c r="O22" s="61"/>
      <c r="P22" s="61"/>
      <c r="Q22" s="61"/>
    </row>
    <row r="33" s="36" customFormat="1"/>
    <row r="34" s="36" customFormat="1"/>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9"/>
  <sheetViews>
    <sheetView zoomScaleNormal="100" workbookViewId="0"/>
  </sheetViews>
  <sheetFormatPr defaultColWidth="9.26953125" defaultRowHeight="14.5"/>
  <cols>
    <col min="1" max="1" width="59" style="72" bestFit="1" customWidth="1"/>
    <col min="2" max="4" width="10.26953125" bestFit="1" customWidth="1"/>
    <col min="5" max="9" width="11.54296875" bestFit="1" customWidth="1"/>
    <col min="10" max="10" width="11.7265625" customWidth="1"/>
    <col min="11" max="11" width="8.7265625" bestFit="1" customWidth="1"/>
    <col min="15" max="15" width="7" customWidth="1"/>
  </cols>
  <sheetData>
    <row r="1" spans="1:17" ht="15" thickBot="1">
      <c r="A1" s="70"/>
      <c r="B1" s="71">
        <v>2005</v>
      </c>
      <c r="C1" s="71">
        <v>2006</v>
      </c>
      <c r="D1" s="71">
        <v>2007</v>
      </c>
      <c r="E1" s="71">
        <v>2008</v>
      </c>
      <c r="F1" s="71">
        <v>2009</v>
      </c>
      <c r="G1" s="71">
        <v>2010</v>
      </c>
      <c r="H1" s="71">
        <v>2011</v>
      </c>
      <c r="I1" s="71">
        <v>2012</v>
      </c>
      <c r="J1" s="71">
        <v>2013</v>
      </c>
      <c r="K1" s="71">
        <v>2014</v>
      </c>
      <c r="L1" s="71">
        <v>2015</v>
      </c>
      <c r="M1" s="71">
        <v>2016</v>
      </c>
      <c r="N1" s="71">
        <v>2017</v>
      </c>
      <c r="O1" s="71">
        <v>2018</v>
      </c>
      <c r="P1" s="71">
        <v>2019</v>
      </c>
    </row>
    <row r="2" spans="1:17">
      <c r="A2" s="72" t="s">
        <v>78</v>
      </c>
      <c r="B2" s="1">
        <f>SUMIFS($C$13:$C$76,$D$13:$D$76,B$1,$E$13:$E$76,$Q2)</f>
        <v>83.8</v>
      </c>
      <c r="C2" s="1">
        <f t="shared" ref="C2:P3" si="0">SUMIFS($C$13:$C$76,$D$13:$D$76,C$1,$E$13:$E$76,$Q2)</f>
        <v>86.6</v>
      </c>
      <c r="D2" s="1">
        <f t="shared" si="0"/>
        <v>89.1</v>
      </c>
      <c r="E2" s="1">
        <f t="shared" si="0"/>
        <v>92.4</v>
      </c>
      <c r="F2" s="1">
        <f t="shared" si="0"/>
        <v>94.3</v>
      </c>
      <c r="G2" s="1">
        <f t="shared" si="0"/>
        <v>96.9</v>
      </c>
      <c r="H2" s="1">
        <f t="shared" si="0"/>
        <v>99.8</v>
      </c>
      <c r="I2" s="1">
        <f t="shared" si="0"/>
        <v>102</v>
      </c>
      <c r="J2" s="1">
        <f t="shared" si="0"/>
        <v>104.8</v>
      </c>
      <c r="K2" s="1">
        <f t="shared" si="0"/>
        <v>106.6</v>
      </c>
      <c r="L2" s="1">
        <f t="shared" si="0"/>
        <v>108.4</v>
      </c>
      <c r="M2" s="1">
        <f t="shared" si="0"/>
        <v>110</v>
      </c>
      <c r="N2" s="1">
        <f t="shared" si="0"/>
        <v>112.1</v>
      </c>
      <c r="O2" s="1">
        <f t="shared" si="0"/>
        <v>114.1</v>
      </c>
      <c r="P2" s="1"/>
      <c r="Q2" s="73">
        <v>12</v>
      </c>
    </row>
    <row r="3" spans="1:17">
      <c r="A3" s="72" t="s">
        <v>79</v>
      </c>
      <c r="B3" s="1">
        <f>SUMIFS($C$13:$C$76,$D$13:$D$76,B$1,$E$13:$E$76,$Q3)</f>
        <v>82.6</v>
      </c>
      <c r="C3" s="1">
        <f t="shared" si="0"/>
        <v>85.9</v>
      </c>
      <c r="D3" s="1">
        <f t="shared" si="0"/>
        <v>87.7</v>
      </c>
      <c r="E3" s="1">
        <f t="shared" si="0"/>
        <v>91.6</v>
      </c>
      <c r="F3" s="1">
        <f t="shared" si="0"/>
        <v>92.9</v>
      </c>
      <c r="G3" s="1">
        <f t="shared" si="0"/>
        <v>95.8</v>
      </c>
      <c r="H3" s="1">
        <f t="shared" si="0"/>
        <v>99.2</v>
      </c>
      <c r="I3" s="1">
        <f t="shared" si="0"/>
        <v>100.4</v>
      </c>
      <c r="J3" s="1">
        <f t="shared" si="0"/>
        <v>102.8</v>
      </c>
      <c r="K3" s="1">
        <f t="shared" si="0"/>
        <v>105.9</v>
      </c>
      <c r="L3" s="1">
        <f t="shared" si="0"/>
        <v>107.5</v>
      </c>
      <c r="M3" s="1">
        <f t="shared" si="0"/>
        <v>108.6</v>
      </c>
      <c r="N3" s="1">
        <f t="shared" si="0"/>
        <v>110.7</v>
      </c>
      <c r="O3" s="1">
        <f t="shared" si="0"/>
        <v>113</v>
      </c>
      <c r="P3" s="1">
        <f t="shared" si="0"/>
        <v>114.8</v>
      </c>
      <c r="Q3" s="73">
        <v>6</v>
      </c>
    </row>
    <row r="4" spans="1:17">
      <c r="A4" s="72" t="s">
        <v>80</v>
      </c>
      <c r="B4" s="1">
        <f>SUMIFS($C$13:$C$76,$D$13:$D$76,B$1-1,$E$13:$E$76,$Q4)</f>
        <v>81.5</v>
      </c>
      <c r="C4" s="1">
        <f t="shared" ref="C4:P4" si="1">SUMIFS($C$13:$C$76,$D$13:$D$76,C$1-1,$E$13:$E$76,$Q4)</f>
        <v>83.8</v>
      </c>
      <c r="D4" s="1">
        <f t="shared" si="1"/>
        <v>86.6</v>
      </c>
      <c r="E4" s="1">
        <f t="shared" si="1"/>
        <v>89.1</v>
      </c>
      <c r="F4" s="1">
        <f t="shared" si="1"/>
        <v>92.4</v>
      </c>
      <c r="G4" s="1">
        <f t="shared" si="1"/>
        <v>94.3</v>
      </c>
      <c r="H4" s="1">
        <f t="shared" si="1"/>
        <v>96.9</v>
      </c>
      <c r="I4" s="1">
        <f t="shared" si="1"/>
        <v>99.8</v>
      </c>
      <c r="J4" s="1">
        <f t="shared" si="1"/>
        <v>102</v>
      </c>
      <c r="K4" s="1">
        <f t="shared" si="1"/>
        <v>104.8</v>
      </c>
      <c r="L4" s="1">
        <f t="shared" si="1"/>
        <v>106.6</v>
      </c>
      <c r="M4" s="1">
        <f t="shared" si="1"/>
        <v>108.4</v>
      </c>
      <c r="N4" s="1">
        <f t="shared" si="1"/>
        <v>110</v>
      </c>
      <c r="O4" s="1">
        <f t="shared" si="1"/>
        <v>112.1</v>
      </c>
      <c r="P4" s="1">
        <f t="shared" si="1"/>
        <v>114.1</v>
      </c>
      <c r="Q4" s="73">
        <v>12</v>
      </c>
    </row>
    <row r="6" spans="1:17">
      <c r="C6" t="s">
        <v>81</v>
      </c>
      <c r="D6" t="s">
        <v>82</v>
      </c>
      <c r="E6" t="s">
        <v>83</v>
      </c>
      <c r="F6" t="s">
        <v>16</v>
      </c>
      <c r="G6" t="s">
        <v>17</v>
      </c>
      <c r="H6" t="s">
        <v>18</v>
      </c>
      <c r="I6" t="s">
        <v>19</v>
      </c>
      <c r="J6" t="s">
        <v>20</v>
      </c>
      <c r="K6" t="s">
        <v>22</v>
      </c>
      <c r="L6" s="1" t="s">
        <v>61</v>
      </c>
      <c r="M6" s="1" t="s">
        <v>62</v>
      </c>
      <c r="N6" s="1" t="s">
        <v>63</v>
      </c>
      <c r="O6" s="1" t="s">
        <v>64</v>
      </c>
      <c r="P6" s="1" t="s">
        <v>84</v>
      </c>
    </row>
    <row r="7" spans="1:17">
      <c r="C7">
        <v>2006</v>
      </c>
      <c r="D7">
        <v>2007</v>
      </c>
      <c r="E7">
        <v>2008</v>
      </c>
      <c r="F7">
        <v>2009</v>
      </c>
      <c r="G7">
        <v>2010</v>
      </c>
      <c r="H7">
        <v>2011</v>
      </c>
      <c r="I7">
        <v>2012</v>
      </c>
      <c r="J7">
        <v>2013</v>
      </c>
      <c r="K7">
        <v>2014</v>
      </c>
      <c r="L7">
        <v>2015</v>
      </c>
      <c r="M7">
        <v>2016</v>
      </c>
      <c r="N7">
        <v>2017</v>
      </c>
      <c r="O7">
        <v>2018</v>
      </c>
      <c r="P7">
        <v>2019</v>
      </c>
    </row>
    <row r="8" spans="1:17">
      <c r="A8" s="72" t="s">
        <v>85</v>
      </c>
      <c r="C8" s="74">
        <f t="shared" ref="C8:P8" si="2">$L$3/B2</f>
        <v>1.2828162291169452</v>
      </c>
      <c r="D8" s="74">
        <f t="shared" si="2"/>
        <v>1.2413394919168592</v>
      </c>
      <c r="E8" s="74">
        <f t="shared" si="2"/>
        <v>1.2065095398428733</v>
      </c>
      <c r="F8" s="74">
        <f>$L$3/E2</f>
        <v>1.1634199134199132</v>
      </c>
      <c r="G8" s="74">
        <f t="shared" si="2"/>
        <v>1.1399787910922587</v>
      </c>
      <c r="H8" s="74">
        <f t="shared" si="2"/>
        <v>1.1093911248710009</v>
      </c>
      <c r="I8" s="74">
        <f t="shared" si="2"/>
        <v>1.0771543086172346</v>
      </c>
      <c r="J8" s="74">
        <f t="shared" si="2"/>
        <v>1.053921568627451</v>
      </c>
      <c r="K8" s="74">
        <f t="shared" si="2"/>
        <v>1.0257633587786259</v>
      </c>
      <c r="L8" s="74">
        <f t="shared" si="2"/>
        <v>1.0084427767354598</v>
      </c>
      <c r="M8" s="74">
        <f t="shared" si="2"/>
        <v>0.99169741697416969</v>
      </c>
      <c r="N8" s="74">
        <f t="shared" si="2"/>
        <v>0.97727272727272729</v>
      </c>
      <c r="O8" s="74">
        <f t="shared" si="2"/>
        <v>0.95896520963425513</v>
      </c>
      <c r="P8" s="74">
        <f t="shared" si="2"/>
        <v>0.94215600350569684</v>
      </c>
    </row>
    <row r="9" spans="1:17">
      <c r="A9" s="72" t="s">
        <v>86</v>
      </c>
      <c r="C9" s="74">
        <f t="shared" ref="C9:P9" si="3">$L$3/C3</f>
        <v>1.2514551804423748</v>
      </c>
      <c r="D9" s="74">
        <f t="shared" si="3"/>
        <v>1.225769669327252</v>
      </c>
      <c r="E9" s="74">
        <f t="shared" si="3"/>
        <v>1.1735807860262009</v>
      </c>
      <c r="F9" s="74">
        <f t="shared" si="3"/>
        <v>1.1571582346609257</v>
      </c>
      <c r="G9" s="74">
        <f t="shared" si="3"/>
        <v>1.1221294363256786</v>
      </c>
      <c r="H9" s="74">
        <f t="shared" si="3"/>
        <v>1.0836693548387097</v>
      </c>
      <c r="I9" s="74">
        <f t="shared" si="3"/>
        <v>1.0707171314741035</v>
      </c>
      <c r="J9" s="74">
        <f t="shared" si="3"/>
        <v>1.0457198443579767</v>
      </c>
      <c r="K9" s="74">
        <f t="shared" si="3"/>
        <v>1.0151085930122756</v>
      </c>
      <c r="L9" s="74">
        <f t="shared" si="3"/>
        <v>1</v>
      </c>
      <c r="M9" s="74">
        <f t="shared" si="3"/>
        <v>0.98987108655616951</v>
      </c>
      <c r="N9" s="74">
        <f t="shared" si="3"/>
        <v>0.97109304426377596</v>
      </c>
      <c r="O9" s="74">
        <f t="shared" si="3"/>
        <v>0.95132743362831862</v>
      </c>
      <c r="P9" s="74">
        <f t="shared" si="3"/>
        <v>0.93641114982578399</v>
      </c>
    </row>
    <row r="11" spans="1:17" ht="15" thickBot="1">
      <c r="B11" s="71" t="s">
        <v>87</v>
      </c>
      <c r="C11" s="71"/>
      <c r="D11" s="71"/>
      <c r="E11" s="71"/>
      <c r="F11" s="71"/>
      <c r="G11" s="71"/>
      <c r="H11" s="71"/>
      <c r="I11" s="71"/>
      <c r="J11" s="71"/>
      <c r="K11" s="71"/>
      <c r="L11" s="71"/>
      <c r="M11" s="71"/>
    </row>
    <row r="12" spans="1:17">
      <c r="C12" s="75"/>
      <c r="G12" t="s">
        <v>88</v>
      </c>
    </row>
    <row r="13" spans="1:17">
      <c r="B13" s="76">
        <v>37986</v>
      </c>
      <c r="C13">
        <v>79.5</v>
      </c>
      <c r="D13">
        <f t="shared" ref="D13:D76" si="4">YEAR(B13)</f>
        <v>2003</v>
      </c>
      <c r="E13">
        <f t="shared" ref="E13:E76" si="5">MONTH(B13)</f>
        <v>12</v>
      </c>
      <c r="G13" t="s">
        <v>89</v>
      </c>
    </row>
    <row r="14" spans="1:17">
      <c r="B14" s="76">
        <v>38077</v>
      </c>
      <c r="C14">
        <v>80.2</v>
      </c>
      <c r="D14">
        <f t="shared" si="4"/>
        <v>2004</v>
      </c>
      <c r="E14">
        <f t="shared" si="5"/>
        <v>3</v>
      </c>
      <c r="G14" t="s">
        <v>90</v>
      </c>
    </row>
    <row r="15" spans="1:17">
      <c r="B15" s="76">
        <v>38168</v>
      </c>
      <c r="C15">
        <v>80.599999999999994</v>
      </c>
      <c r="D15">
        <f t="shared" si="4"/>
        <v>2004</v>
      </c>
      <c r="E15">
        <f t="shared" si="5"/>
        <v>6</v>
      </c>
      <c r="G15" t="s">
        <v>91</v>
      </c>
    </row>
    <row r="16" spans="1:17">
      <c r="B16" s="76">
        <v>38260</v>
      </c>
      <c r="C16">
        <v>80.900000000000006</v>
      </c>
      <c r="D16">
        <f t="shared" si="4"/>
        <v>2004</v>
      </c>
      <c r="E16">
        <f t="shared" si="5"/>
        <v>9</v>
      </c>
      <c r="G16" t="s">
        <v>92</v>
      </c>
    </row>
    <row r="17" spans="2:7">
      <c r="B17" s="76">
        <v>38352</v>
      </c>
      <c r="C17">
        <v>81.5</v>
      </c>
      <c r="D17">
        <f t="shared" si="4"/>
        <v>2004</v>
      </c>
      <c r="E17">
        <f t="shared" si="5"/>
        <v>12</v>
      </c>
      <c r="G17">
        <v>3</v>
      </c>
    </row>
    <row r="18" spans="2:7">
      <c r="B18" s="76">
        <v>38442</v>
      </c>
      <c r="C18">
        <v>82.1</v>
      </c>
      <c r="D18">
        <f t="shared" si="4"/>
        <v>2005</v>
      </c>
      <c r="E18">
        <f t="shared" si="5"/>
        <v>3</v>
      </c>
      <c r="G18" s="77">
        <v>17777</v>
      </c>
    </row>
    <row r="19" spans="2:7">
      <c r="B19" s="76">
        <v>38533</v>
      </c>
      <c r="C19">
        <v>82.6</v>
      </c>
      <c r="D19">
        <f t="shared" si="4"/>
        <v>2005</v>
      </c>
      <c r="E19">
        <f t="shared" si="5"/>
        <v>6</v>
      </c>
      <c r="G19" s="77">
        <v>42887</v>
      </c>
    </row>
    <row r="20" spans="2:7">
      <c r="B20" s="76">
        <v>38625</v>
      </c>
      <c r="C20">
        <v>83.4</v>
      </c>
      <c r="D20">
        <f t="shared" si="4"/>
        <v>2005</v>
      </c>
      <c r="E20">
        <f t="shared" si="5"/>
        <v>9</v>
      </c>
      <c r="G20">
        <v>276</v>
      </c>
    </row>
    <row r="21" spans="2:7">
      <c r="B21" s="76">
        <v>38717</v>
      </c>
      <c r="C21">
        <v>83.8</v>
      </c>
      <c r="D21">
        <f t="shared" si="4"/>
        <v>2005</v>
      </c>
      <c r="E21">
        <f t="shared" si="5"/>
        <v>12</v>
      </c>
      <c r="G21" t="s">
        <v>93</v>
      </c>
    </row>
    <row r="22" spans="2:7">
      <c r="B22" s="76">
        <v>38807</v>
      </c>
      <c r="C22">
        <v>84.5</v>
      </c>
      <c r="D22">
        <f t="shared" si="4"/>
        <v>2006</v>
      </c>
      <c r="E22">
        <f t="shared" si="5"/>
        <v>3</v>
      </c>
    </row>
    <row r="23" spans="2:7">
      <c r="B23" s="76">
        <v>38898</v>
      </c>
      <c r="C23">
        <v>85.9</v>
      </c>
      <c r="D23">
        <f t="shared" si="4"/>
        <v>2006</v>
      </c>
      <c r="E23">
        <f t="shared" si="5"/>
        <v>6</v>
      </c>
    </row>
    <row r="24" spans="2:7">
      <c r="B24" s="76">
        <v>38990</v>
      </c>
      <c r="C24">
        <v>86.7</v>
      </c>
      <c r="D24">
        <f t="shared" si="4"/>
        <v>2006</v>
      </c>
      <c r="E24">
        <f t="shared" si="5"/>
        <v>9</v>
      </c>
    </row>
    <row r="25" spans="2:7">
      <c r="B25" s="76">
        <v>39082</v>
      </c>
      <c r="C25">
        <v>86.6</v>
      </c>
      <c r="D25">
        <f t="shared" si="4"/>
        <v>2006</v>
      </c>
      <c r="E25">
        <f t="shared" si="5"/>
        <v>12</v>
      </c>
    </row>
    <row r="26" spans="2:7">
      <c r="B26" s="76">
        <v>39172</v>
      </c>
      <c r="C26">
        <v>86.6</v>
      </c>
      <c r="D26">
        <f t="shared" si="4"/>
        <v>2007</v>
      </c>
      <c r="E26">
        <f t="shared" si="5"/>
        <v>3</v>
      </c>
    </row>
    <row r="27" spans="2:7">
      <c r="B27" s="76">
        <v>39263</v>
      </c>
      <c r="C27">
        <v>87.7</v>
      </c>
      <c r="D27">
        <f t="shared" si="4"/>
        <v>2007</v>
      </c>
      <c r="E27">
        <f t="shared" si="5"/>
        <v>6</v>
      </c>
    </row>
    <row r="28" spans="2:7">
      <c r="B28" s="76">
        <v>39355</v>
      </c>
      <c r="C28">
        <v>88.3</v>
      </c>
      <c r="D28">
        <f t="shared" si="4"/>
        <v>2007</v>
      </c>
      <c r="E28">
        <f t="shared" si="5"/>
        <v>9</v>
      </c>
    </row>
    <row r="29" spans="2:7">
      <c r="B29" s="76">
        <v>39447</v>
      </c>
      <c r="C29">
        <v>89.1</v>
      </c>
      <c r="D29">
        <f t="shared" si="4"/>
        <v>2007</v>
      </c>
      <c r="E29">
        <f t="shared" si="5"/>
        <v>12</v>
      </c>
    </row>
    <row r="30" spans="2:7">
      <c r="B30" s="76">
        <v>39538</v>
      </c>
      <c r="C30">
        <v>90.3</v>
      </c>
      <c r="D30">
        <f t="shared" si="4"/>
        <v>2008</v>
      </c>
      <c r="E30">
        <f t="shared" si="5"/>
        <v>3</v>
      </c>
    </row>
    <row r="31" spans="2:7">
      <c r="B31" s="76">
        <v>39629</v>
      </c>
      <c r="C31">
        <v>91.6</v>
      </c>
      <c r="D31">
        <f t="shared" si="4"/>
        <v>2008</v>
      </c>
      <c r="E31">
        <f t="shared" si="5"/>
        <v>6</v>
      </c>
    </row>
    <row r="32" spans="2:7">
      <c r="B32" s="76">
        <v>39721</v>
      </c>
      <c r="C32">
        <v>92.7</v>
      </c>
      <c r="D32">
        <f t="shared" si="4"/>
        <v>2008</v>
      </c>
      <c r="E32">
        <f t="shared" si="5"/>
        <v>9</v>
      </c>
    </row>
    <row r="33" spans="2:5">
      <c r="B33" s="76">
        <v>39813</v>
      </c>
      <c r="C33">
        <v>92.4</v>
      </c>
      <c r="D33">
        <f t="shared" si="4"/>
        <v>2008</v>
      </c>
      <c r="E33">
        <f t="shared" si="5"/>
        <v>12</v>
      </c>
    </row>
    <row r="34" spans="2:5">
      <c r="B34" s="76">
        <v>39903</v>
      </c>
      <c r="C34">
        <v>92.5</v>
      </c>
      <c r="D34">
        <f t="shared" si="4"/>
        <v>2009</v>
      </c>
      <c r="E34">
        <f t="shared" si="5"/>
        <v>3</v>
      </c>
    </row>
    <row r="35" spans="2:5">
      <c r="B35" s="76">
        <v>39994</v>
      </c>
      <c r="C35">
        <v>92.9</v>
      </c>
      <c r="D35">
        <f t="shared" si="4"/>
        <v>2009</v>
      </c>
      <c r="E35">
        <f t="shared" si="5"/>
        <v>6</v>
      </c>
    </row>
    <row r="36" spans="2:5">
      <c r="B36" s="76">
        <v>40086</v>
      </c>
      <c r="C36">
        <v>93.8</v>
      </c>
      <c r="D36">
        <f t="shared" si="4"/>
        <v>2009</v>
      </c>
      <c r="E36">
        <f t="shared" si="5"/>
        <v>9</v>
      </c>
    </row>
    <row r="37" spans="2:5">
      <c r="B37" s="76">
        <v>40178</v>
      </c>
      <c r="C37">
        <v>94.3</v>
      </c>
      <c r="D37">
        <f t="shared" si="4"/>
        <v>2009</v>
      </c>
      <c r="E37">
        <f t="shared" si="5"/>
        <v>12</v>
      </c>
    </row>
    <row r="38" spans="2:5">
      <c r="B38" s="76">
        <v>40268</v>
      </c>
      <c r="C38">
        <v>95.2</v>
      </c>
      <c r="D38">
        <f t="shared" si="4"/>
        <v>2010</v>
      </c>
      <c r="E38">
        <f t="shared" si="5"/>
        <v>3</v>
      </c>
    </row>
    <row r="39" spans="2:5">
      <c r="B39" s="76">
        <v>40359</v>
      </c>
      <c r="C39">
        <v>95.8</v>
      </c>
      <c r="D39">
        <f t="shared" si="4"/>
        <v>2010</v>
      </c>
      <c r="E39">
        <f t="shared" si="5"/>
        <v>6</v>
      </c>
    </row>
    <row r="40" spans="2:5">
      <c r="B40" s="76">
        <v>40451</v>
      </c>
      <c r="C40">
        <v>96.5</v>
      </c>
      <c r="D40">
        <f t="shared" si="4"/>
        <v>2010</v>
      </c>
      <c r="E40">
        <f t="shared" si="5"/>
        <v>9</v>
      </c>
    </row>
    <row r="41" spans="2:5">
      <c r="B41" s="76">
        <v>40543</v>
      </c>
      <c r="C41">
        <v>96.9</v>
      </c>
      <c r="D41">
        <f t="shared" si="4"/>
        <v>2010</v>
      </c>
      <c r="E41">
        <f t="shared" si="5"/>
        <v>12</v>
      </c>
    </row>
    <row r="42" spans="2:5">
      <c r="B42" s="76">
        <v>40633</v>
      </c>
      <c r="C42">
        <v>98.3</v>
      </c>
      <c r="D42">
        <f t="shared" si="4"/>
        <v>2011</v>
      </c>
      <c r="E42">
        <f t="shared" si="5"/>
        <v>3</v>
      </c>
    </row>
    <row r="43" spans="2:5">
      <c r="B43" s="76">
        <v>40724</v>
      </c>
      <c r="C43">
        <v>99.2</v>
      </c>
      <c r="D43">
        <f t="shared" si="4"/>
        <v>2011</v>
      </c>
      <c r="E43">
        <f t="shared" si="5"/>
        <v>6</v>
      </c>
    </row>
    <row r="44" spans="2:5">
      <c r="B44" s="76">
        <v>40816</v>
      </c>
      <c r="C44">
        <v>99.8</v>
      </c>
      <c r="D44">
        <f t="shared" si="4"/>
        <v>2011</v>
      </c>
      <c r="E44">
        <f t="shared" si="5"/>
        <v>9</v>
      </c>
    </row>
    <row r="45" spans="2:5">
      <c r="B45" s="76">
        <v>40908</v>
      </c>
      <c r="C45">
        <v>99.8</v>
      </c>
      <c r="D45">
        <f t="shared" si="4"/>
        <v>2011</v>
      </c>
      <c r="E45">
        <f t="shared" si="5"/>
        <v>12</v>
      </c>
    </row>
    <row r="46" spans="2:5">
      <c r="B46" s="76">
        <v>40999</v>
      </c>
      <c r="C46">
        <v>99.9</v>
      </c>
      <c r="D46">
        <f t="shared" si="4"/>
        <v>2012</v>
      </c>
      <c r="E46">
        <f t="shared" si="5"/>
        <v>3</v>
      </c>
    </row>
    <row r="47" spans="2:5">
      <c r="B47" s="76">
        <v>41090</v>
      </c>
      <c r="C47">
        <v>100.4</v>
      </c>
      <c r="D47">
        <f t="shared" si="4"/>
        <v>2012</v>
      </c>
      <c r="E47">
        <f t="shared" si="5"/>
        <v>6</v>
      </c>
    </row>
    <row r="48" spans="2:5">
      <c r="B48" s="76">
        <v>41182</v>
      </c>
      <c r="C48">
        <v>101.8</v>
      </c>
      <c r="D48">
        <f t="shared" si="4"/>
        <v>2012</v>
      </c>
      <c r="E48">
        <f t="shared" si="5"/>
        <v>9</v>
      </c>
    </row>
    <row r="49" spans="2:5">
      <c r="B49" s="76">
        <v>41274</v>
      </c>
      <c r="C49">
        <v>102</v>
      </c>
      <c r="D49">
        <f t="shared" si="4"/>
        <v>2012</v>
      </c>
      <c r="E49">
        <f t="shared" si="5"/>
        <v>12</v>
      </c>
    </row>
    <row r="50" spans="2:5">
      <c r="B50" s="76">
        <v>41364</v>
      </c>
      <c r="C50">
        <v>102.4</v>
      </c>
      <c r="D50">
        <f t="shared" si="4"/>
        <v>2013</v>
      </c>
      <c r="E50">
        <f t="shared" si="5"/>
        <v>3</v>
      </c>
    </row>
    <row r="51" spans="2:5">
      <c r="B51" s="76">
        <v>41455</v>
      </c>
      <c r="C51">
        <v>102.8</v>
      </c>
      <c r="D51">
        <f t="shared" si="4"/>
        <v>2013</v>
      </c>
      <c r="E51">
        <f t="shared" si="5"/>
        <v>6</v>
      </c>
    </row>
    <row r="52" spans="2:5">
      <c r="B52" s="76">
        <v>41547</v>
      </c>
      <c r="C52">
        <v>104</v>
      </c>
      <c r="D52">
        <f t="shared" si="4"/>
        <v>2013</v>
      </c>
      <c r="E52">
        <f t="shared" si="5"/>
        <v>9</v>
      </c>
    </row>
    <row r="53" spans="2:5">
      <c r="B53" s="76">
        <v>41639</v>
      </c>
      <c r="C53">
        <v>104.8</v>
      </c>
      <c r="D53">
        <f t="shared" si="4"/>
        <v>2013</v>
      </c>
      <c r="E53">
        <f t="shared" si="5"/>
        <v>12</v>
      </c>
    </row>
    <row r="54" spans="2:5">
      <c r="B54" s="76">
        <v>41729</v>
      </c>
      <c r="C54">
        <v>105.4</v>
      </c>
      <c r="D54">
        <f t="shared" si="4"/>
        <v>2014</v>
      </c>
      <c r="E54">
        <f t="shared" si="5"/>
        <v>3</v>
      </c>
    </row>
    <row r="55" spans="2:5">
      <c r="B55" s="76">
        <v>41820</v>
      </c>
      <c r="C55">
        <v>105.9</v>
      </c>
      <c r="D55">
        <f t="shared" si="4"/>
        <v>2014</v>
      </c>
      <c r="E55">
        <f t="shared" si="5"/>
        <v>6</v>
      </c>
    </row>
    <row r="56" spans="2:5">
      <c r="B56" s="76">
        <v>41912</v>
      </c>
      <c r="C56">
        <v>106.4</v>
      </c>
      <c r="D56">
        <f t="shared" si="4"/>
        <v>2014</v>
      </c>
      <c r="E56">
        <f t="shared" si="5"/>
        <v>9</v>
      </c>
    </row>
    <row r="57" spans="2:5">
      <c r="B57" s="76">
        <v>42004</v>
      </c>
      <c r="C57">
        <v>106.6</v>
      </c>
      <c r="D57">
        <f t="shared" si="4"/>
        <v>2014</v>
      </c>
      <c r="E57">
        <f t="shared" si="5"/>
        <v>12</v>
      </c>
    </row>
    <row r="58" spans="2:5">
      <c r="B58" s="76">
        <v>42094</v>
      </c>
      <c r="C58">
        <v>106.8</v>
      </c>
      <c r="D58">
        <f t="shared" si="4"/>
        <v>2015</v>
      </c>
      <c r="E58">
        <f t="shared" si="5"/>
        <v>3</v>
      </c>
    </row>
    <row r="59" spans="2:5">
      <c r="B59" s="76">
        <v>42185</v>
      </c>
      <c r="C59">
        <v>107.5</v>
      </c>
      <c r="D59">
        <f t="shared" si="4"/>
        <v>2015</v>
      </c>
      <c r="E59">
        <f t="shared" si="5"/>
        <v>6</v>
      </c>
    </row>
    <row r="60" spans="2:5">
      <c r="B60" s="76">
        <v>42277</v>
      </c>
      <c r="C60">
        <v>108</v>
      </c>
      <c r="D60">
        <f t="shared" si="4"/>
        <v>2015</v>
      </c>
      <c r="E60">
        <f t="shared" si="5"/>
        <v>9</v>
      </c>
    </row>
    <row r="61" spans="2:5">
      <c r="B61" s="76">
        <v>42369</v>
      </c>
      <c r="C61">
        <v>108.4</v>
      </c>
      <c r="D61">
        <f t="shared" si="4"/>
        <v>2015</v>
      </c>
      <c r="E61">
        <f t="shared" si="5"/>
        <v>12</v>
      </c>
    </row>
    <row r="62" spans="2:5">
      <c r="B62" s="76">
        <v>42460</v>
      </c>
      <c r="C62">
        <v>108.2</v>
      </c>
      <c r="D62">
        <f t="shared" si="4"/>
        <v>2016</v>
      </c>
      <c r="E62">
        <f t="shared" si="5"/>
        <v>3</v>
      </c>
    </row>
    <row r="63" spans="2:5">
      <c r="B63" s="76">
        <v>42551</v>
      </c>
      <c r="C63">
        <v>108.6</v>
      </c>
      <c r="D63">
        <f t="shared" si="4"/>
        <v>2016</v>
      </c>
      <c r="E63">
        <f t="shared" si="5"/>
        <v>6</v>
      </c>
    </row>
    <row r="64" spans="2:5">
      <c r="B64" s="76">
        <v>42643</v>
      </c>
      <c r="C64">
        <v>109.4</v>
      </c>
      <c r="D64">
        <f t="shared" si="4"/>
        <v>2016</v>
      </c>
      <c r="E64">
        <f t="shared" si="5"/>
        <v>9</v>
      </c>
    </row>
    <row r="65" spans="1:5">
      <c r="B65" s="76">
        <v>42735</v>
      </c>
      <c r="C65">
        <v>110</v>
      </c>
      <c r="D65">
        <f t="shared" si="4"/>
        <v>2016</v>
      </c>
      <c r="E65">
        <f t="shared" si="5"/>
        <v>12</v>
      </c>
    </row>
    <row r="66" spans="1:5">
      <c r="B66" s="76">
        <v>42825</v>
      </c>
      <c r="C66">
        <v>110.5</v>
      </c>
      <c r="D66">
        <f t="shared" si="4"/>
        <v>2017</v>
      </c>
      <c r="E66">
        <f t="shared" si="5"/>
        <v>3</v>
      </c>
    </row>
    <row r="67" spans="1:5">
      <c r="B67" s="76">
        <v>42916</v>
      </c>
      <c r="C67">
        <v>110.7</v>
      </c>
      <c r="D67">
        <f t="shared" si="4"/>
        <v>2017</v>
      </c>
      <c r="E67">
        <f t="shared" si="5"/>
        <v>6</v>
      </c>
    </row>
    <row r="68" spans="1:5">
      <c r="B68" s="76">
        <v>42979</v>
      </c>
      <c r="C68">
        <v>111.4</v>
      </c>
      <c r="D68">
        <f t="shared" si="4"/>
        <v>2017</v>
      </c>
      <c r="E68">
        <f t="shared" si="5"/>
        <v>9</v>
      </c>
    </row>
    <row r="69" spans="1:5">
      <c r="B69" s="76">
        <v>43070</v>
      </c>
      <c r="C69">
        <v>112.1</v>
      </c>
      <c r="D69">
        <f t="shared" si="4"/>
        <v>2017</v>
      </c>
      <c r="E69">
        <f t="shared" si="5"/>
        <v>12</v>
      </c>
    </row>
    <row r="70" spans="1:5">
      <c r="B70" s="76">
        <v>43160</v>
      </c>
      <c r="C70">
        <v>112.6</v>
      </c>
      <c r="D70">
        <f t="shared" si="4"/>
        <v>2018</v>
      </c>
      <c r="E70">
        <f t="shared" si="5"/>
        <v>3</v>
      </c>
    </row>
    <row r="71" spans="1:5">
      <c r="B71" s="76">
        <v>43252</v>
      </c>
      <c r="C71">
        <v>113</v>
      </c>
      <c r="D71">
        <f t="shared" si="4"/>
        <v>2018</v>
      </c>
      <c r="E71">
        <f t="shared" si="5"/>
        <v>6</v>
      </c>
    </row>
    <row r="72" spans="1:5">
      <c r="B72" s="76">
        <v>43344</v>
      </c>
      <c r="C72">
        <v>113.5</v>
      </c>
      <c r="D72">
        <f t="shared" si="4"/>
        <v>2018</v>
      </c>
      <c r="E72">
        <f t="shared" si="5"/>
        <v>9</v>
      </c>
    </row>
    <row r="73" spans="1:5">
      <c r="B73" s="76">
        <v>43435</v>
      </c>
      <c r="C73">
        <v>114.1</v>
      </c>
      <c r="D73">
        <f t="shared" si="4"/>
        <v>2018</v>
      </c>
      <c r="E73">
        <f t="shared" si="5"/>
        <v>12</v>
      </c>
    </row>
    <row r="74" spans="1:5">
      <c r="B74" s="76">
        <v>43525</v>
      </c>
      <c r="C74">
        <v>114.1</v>
      </c>
      <c r="D74">
        <f t="shared" si="4"/>
        <v>2019</v>
      </c>
      <c r="E74">
        <f t="shared" si="5"/>
        <v>3</v>
      </c>
    </row>
    <row r="75" spans="1:5">
      <c r="B75" s="76">
        <v>43617</v>
      </c>
      <c r="C75">
        <v>114.8</v>
      </c>
      <c r="D75">
        <f t="shared" si="4"/>
        <v>2019</v>
      </c>
      <c r="E75">
        <f t="shared" si="5"/>
        <v>6</v>
      </c>
    </row>
    <row r="76" spans="1:5">
      <c r="B76" s="76">
        <v>43709</v>
      </c>
      <c r="C76">
        <v>115.4</v>
      </c>
      <c r="D76">
        <f t="shared" si="4"/>
        <v>2019</v>
      </c>
      <c r="E76">
        <f t="shared" si="5"/>
        <v>9</v>
      </c>
    </row>
    <row r="77" spans="1:5">
      <c r="B77" s="76">
        <v>43800</v>
      </c>
    </row>
    <row r="79" spans="1:5">
      <c r="A79" s="94" t="s">
        <v>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Output|Bushfire obligation OEF</vt:lpstr>
      <vt:lpstr>Calc|BushfireObligation_Actual</vt:lpstr>
      <vt:lpstr>AER Analysis-&gt;</vt:lpstr>
      <vt:lpstr>Summary</vt:lpstr>
      <vt:lpstr>Divison of responsibility</vt:lpstr>
      <vt:lpstr>Bushfire obligations</vt:lpstr>
      <vt:lpstr>Bushfire obligations source</vt:lpstr>
      <vt:lpstr>Customer weights</vt:lpstr>
      <vt:lpstr>CPI-master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2020-12-08T02:23:58Z</dcterms:created>
  <dcterms:modified xsi:type="dcterms:W3CDTF">2020-12-08T02:24:15Z</dcterms:modified>
</cp:coreProperties>
</file>