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defaultThemeVersion="124226"/>
  <xr:revisionPtr revIDLastSave="0" documentId="8_{66AE4CA9-CAD7-46F1-B136-3D18C6F9830F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AER Input table" sheetId="28" r:id="rId1"/>
    <sheet name="AER Output table" sheetId="27" r:id="rId2"/>
    <sheet name="Output" sheetId="26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LU_Version" localSheetId="2">[1]Formats!$D$51</definedName>
    <definedName name="_LU_Version">#REF!</definedName>
    <definedName name="CRCP_y4">'[2]AER lookups'!$G$42</definedName>
    <definedName name="CRCP_y5">'[2]AER lookups'!$G$43</definedName>
    <definedName name="dms_FRCPlength_Num">'[2]AER ETL'!$C$70</definedName>
    <definedName name="dms_MAIFI_Flag">'[3]3.6.8 Network-feeders'!$F$6</definedName>
    <definedName name="dms_ShortRural_flag_NSP">'[3]Business &amp; other details'!$D$77</definedName>
    <definedName name="FRCP_y1">'[2]Business &amp; other details'!$AL$42</definedName>
    <definedName name="FRCP_y2">'[2]AER lookups'!$I$40</definedName>
    <definedName name="FRCP_y3">'[2]AER lookups'!$I$41</definedName>
    <definedName name="FRCP_y4">'[2]AER lookups'!$I$42</definedName>
    <definedName name="FRCP_y5">'[2]AER lookups'!$I$43</definedName>
    <definedName name="InfoClassification" localSheetId="2">[1]Formats!$D$46</definedName>
    <definedName name="InfoClassification">#REF!</definedName>
    <definedName name="ModelName">[4]Title!$D$43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3" i="26" l="1"/>
  <c r="C17" i="28" l="1"/>
  <c r="F10" i="26"/>
  <c r="D6" i="26"/>
  <c r="D7" i="26"/>
  <c r="D5" i="26"/>
  <c r="E6" i="26"/>
  <c r="E7" i="26"/>
  <c r="E5" i="26"/>
  <c r="H22" i="26" l="1"/>
  <c r="H21" i="26"/>
  <c r="H20" i="26"/>
  <c r="H18" i="26"/>
  <c r="H17" i="26"/>
  <c r="H16" i="26"/>
  <c r="B9" i="28" l="1"/>
  <c r="C4" i="28"/>
  <c r="C13" i="28" l="1"/>
  <c r="D13" i="28"/>
  <c r="E13" i="28"/>
  <c r="F13" i="28"/>
  <c r="B13" i="28"/>
  <c r="I48" i="28" l="1"/>
  <c r="I45" i="28"/>
  <c r="D20" i="28" s="1"/>
  <c r="I44" i="28"/>
  <c r="C20" i="28" s="1"/>
  <c r="B25" i="27" l="1"/>
  <c r="B15" i="27" l="1"/>
  <c r="B53" i="27" s="1"/>
  <c r="B13" i="27"/>
  <c r="B9" i="27"/>
  <c r="B5" i="27"/>
  <c r="B12" i="27"/>
  <c r="B8" i="27"/>
  <c r="B4" i="27"/>
  <c r="B57" i="27" l="1"/>
  <c r="B51" i="27"/>
  <c r="B47" i="27"/>
  <c r="F20" i="28" l="1"/>
  <c r="B50" i="27"/>
  <c r="B49" i="27"/>
  <c r="C13" i="27"/>
  <c r="D13" i="27" s="1"/>
  <c r="E13" i="27" s="1"/>
  <c r="F13" i="27" s="1"/>
  <c r="C32" i="27" s="1"/>
  <c r="C12" i="27"/>
  <c r="D12" i="27" s="1"/>
  <c r="E12" i="27" s="1"/>
  <c r="F12" i="27" s="1"/>
  <c r="B32" i="27" s="1"/>
  <c r="C9" i="27"/>
  <c r="D9" i="27" s="1"/>
  <c r="E9" i="27" s="1"/>
  <c r="F9" i="27" s="1"/>
  <c r="C31" i="27" s="1"/>
  <c r="B46" i="27"/>
  <c r="C5" i="27"/>
  <c r="D5" i="27" s="1"/>
  <c r="E5" i="27" s="1"/>
  <c r="F5" i="27" s="1"/>
  <c r="C30" i="27" s="1"/>
  <c r="C4" i="27"/>
  <c r="D4" i="27" s="1"/>
  <c r="E4" i="27" s="1"/>
  <c r="F4" i="27" s="1"/>
  <c r="B30" i="27" s="1"/>
  <c r="B45" i="27"/>
  <c r="I35" i="28"/>
  <c r="H35" i="28"/>
  <c r="G35" i="28"/>
  <c r="F35" i="28"/>
  <c r="E35" i="28"/>
  <c r="J35" i="28" s="1"/>
  <c r="F17" i="28" s="1"/>
  <c r="I26" i="28"/>
  <c r="H26" i="28"/>
  <c r="G26" i="28"/>
  <c r="F26" i="28"/>
  <c r="E26" i="28"/>
  <c r="D26" i="28"/>
  <c r="C26" i="28"/>
  <c r="G13" i="28"/>
  <c r="B4" i="28"/>
  <c r="D3" i="28"/>
  <c r="B28" i="27" l="1"/>
  <c r="D17" i="28"/>
  <c r="C28" i="27" s="1"/>
  <c r="C29" i="27"/>
  <c r="B29" i="27"/>
  <c r="B20" i="27" s="1"/>
  <c r="D4" i="28"/>
  <c r="C25" i="27"/>
  <c r="C57" i="27"/>
  <c r="E3" i="28"/>
  <c r="E4" i="28" s="1"/>
  <c r="C8" i="27"/>
  <c r="D8" i="27" s="1"/>
  <c r="E8" i="27" s="1"/>
  <c r="F8" i="27" s="1"/>
  <c r="B31" i="27" s="1"/>
  <c r="C15" i="27"/>
  <c r="D15" i="27" s="1"/>
  <c r="E15" i="27" s="1"/>
  <c r="F15" i="27" s="1"/>
  <c r="B38" i="27" l="1"/>
  <c r="B21" i="27"/>
  <c r="C20" i="27"/>
  <c r="C38" i="27" s="1"/>
  <c r="C21" i="27"/>
  <c r="C39" i="27" s="1"/>
  <c r="G17" i="28"/>
  <c r="B22" i="27" l="1"/>
  <c r="B40" i="27" s="1"/>
  <c r="B39" i="27"/>
  <c r="C22" i="27"/>
  <c r="C40" i="27" s="1"/>
</calcChain>
</file>

<file path=xl/sharedStrings.xml><?xml version="1.0" encoding="utf-8"?>
<sst xmlns="http://schemas.openxmlformats.org/spreadsheetml/2006/main" count="171" uniqueCount="95">
  <si>
    <t>Urban</t>
  </si>
  <si>
    <t>SAIFI</t>
  </si>
  <si>
    <t>Network</t>
  </si>
  <si>
    <t>SAIDI</t>
  </si>
  <si>
    <t>% Fault calls answered within 30 sec</t>
  </si>
  <si>
    <t>MAIFI</t>
  </si>
  <si>
    <t>Short rural</t>
  </si>
  <si>
    <t>CBD</t>
  </si>
  <si>
    <t>Long rural</t>
  </si>
  <si>
    <t>$/MWh</t>
  </si>
  <si>
    <t>VCR Escalated to September 2020</t>
  </si>
  <si>
    <t>Index Numbers All groups CPI</t>
  </si>
  <si>
    <t>AER VCR was published in December 2019, nine months CPI escalation is adopted for draft decision.</t>
  </si>
  <si>
    <t>CPI</t>
  </si>
  <si>
    <t>Source: ABS</t>
  </si>
  <si>
    <t>Smoothed MAR ($m 2020-10)</t>
  </si>
  <si>
    <t>2021-22</t>
  </si>
  <si>
    <t>2022-23</t>
  </si>
  <si>
    <t>2023-24</t>
  </si>
  <si>
    <t>2024-25</t>
  </si>
  <si>
    <t>2025-26</t>
  </si>
  <si>
    <t>Average  MAR</t>
  </si>
  <si>
    <t>To be updated with AER Draft Decision PTRM in September 2020</t>
  </si>
  <si>
    <t>Forecast energy consumptions by Feeder Type  (Gwh)</t>
  </si>
  <si>
    <t>Total</t>
  </si>
  <si>
    <t>check</t>
  </si>
  <si>
    <t>Average2021/22 - 2025/26, from Reset RIN 3.4.1</t>
  </si>
  <si>
    <t xml:space="preserve">Total </t>
  </si>
  <si>
    <t>Ave Customers (#)</t>
  </si>
  <si>
    <t>2019 Annual RIN 6.2.4</t>
  </si>
  <si>
    <t>3.4.1 - ENERGY DELIVERY</t>
  </si>
  <si>
    <t>Standard control services</t>
  </si>
  <si>
    <t>Forecast</t>
  </si>
  <si>
    <t>Units</t>
  </si>
  <si>
    <t>Total energy delivered</t>
  </si>
  <si>
    <t>GWh</t>
  </si>
  <si>
    <t>3.4.1.1 - Energy grouping - delivery by chargeable quantity</t>
  </si>
  <si>
    <t>Energy Delivery where time of use is not a determinant</t>
  </si>
  <si>
    <t>Energy Delivery at On-peak times</t>
  </si>
  <si>
    <t xml:space="preserve">Energy Delivery at Shoulder times </t>
  </si>
  <si>
    <t>Energy Delivery at Off-peak times</t>
  </si>
  <si>
    <t>Controlled load energy deliveries</t>
  </si>
  <si>
    <t>Energy Delivery to unmetered supplies</t>
  </si>
  <si>
    <t>average</t>
  </si>
  <si>
    <t>Performance targets</t>
  </si>
  <si>
    <t>2020-21</t>
  </si>
  <si>
    <t>Telephone answering parameter (measured as a percentage in STPIS)</t>
  </si>
  <si>
    <t xml:space="preserve">Incentive rates </t>
  </si>
  <si>
    <t>Output parmaeters</t>
  </si>
  <si>
    <t>ir - SAIDI</t>
  </si>
  <si>
    <t>ir - SAIFI</t>
  </si>
  <si>
    <t>ir - MAIFI (% of SAIFI)</t>
  </si>
  <si>
    <t>Input parameters</t>
  </si>
  <si>
    <t>VCR</t>
  </si>
  <si>
    <t>w_n</t>
  </si>
  <si>
    <t>as per STPIS 2.0 in 2018</t>
  </si>
  <si>
    <t>C_n</t>
  </si>
  <si>
    <t>R</t>
  </si>
  <si>
    <t>ir - MAIFI</t>
  </si>
  <si>
    <t>Table 2</t>
  </si>
  <si>
    <t>value</t>
  </si>
  <si>
    <t>Telephone answering</t>
  </si>
  <si>
    <t>Percentage of calls will be answered within 30 seconds</t>
  </si>
  <si>
    <t>Table 3</t>
  </si>
  <si>
    <t>MAIFIe</t>
  </si>
  <si>
    <t>Jemena STPIS Target 2021/22 - 2025/26</t>
  </si>
  <si>
    <t>Reliability</t>
  </si>
  <si>
    <t>FY 2016</t>
  </si>
  <si>
    <t>FY 2017</t>
  </si>
  <si>
    <t>FY 2018</t>
  </si>
  <si>
    <t>FY 2019</t>
  </si>
  <si>
    <t>Target</t>
  </si>
  <si>
    <t>Source: Jemena Electricity Networks (Vic), 2021-26 Electricity Distribution Price Review Regulatory Proposal Attachment 07-05 Incentive mechanisms, 31 January 2020, pp . 9 and 12.</t>
  </si>
  <si>
    <t xml:space="preserve">Output tables for draft decision </t>
  </si>
  <si>
    <t>VCR (Source: AER, December 2019,Table 1.3 and Table 5.22)</t>
  </si>
  <si>
    <t>Source: PTRM 2021-26</t>
  </si>
  <si>
    <t>6.2.4 - DISTRIBUTION CUSTOMER NUMBERS</t>
  </si>
  <si>
    <t>Average customer numbers</t>
  </si>
  <si>
    <t>2019-20</t>
  </si>
  <si>
    <t/>
  </si>
  <si>
    <t>Urban average consumption should link to 'AER Input table'!C17 instead of 'AER Input table'!C20</t>
  </si>
  <si>
    <t>Regulatory period starts from 2021-22 to 2025-26</t>
  </si>
  <si>
    <t>It is recommended to link the cells to 'AER Input table'!B9 in case of change</t>
  </si>
  <si>
    <t>Format referenced to 2016-20 Final decision Table 11.2</t>
  </si>
  <si>
    <t xml:space="preserve">We have format the cells by removing the % to avoid confusion in the calculation of  STPIS as referenced in 2016-20 Final decision Table 11.2. We have reproduced the table below. </t>
  </si>
  <si>
    <t xml:space="preserve">Consistent with previous AER's calculation, we suggest all targets are rounded to 3 decimal points. </t>
  </si>
  <si>
    <t>Refer to cell G16 comment</t>
  </si>
  <si>
    <t>Refer to cell G16 comment.</t>
  </si>
  <si>
    <r>
      <t>We have reproduced the below Table 6.2.4 to support the correct customers numbers. It is from  J</t>
    </r>
    <r>
      <rPr>
        <i/>
        <sz val="8"/>
        <color rgb="FF7030A0"/>
        <rFont val="Arial"/>
        <family val="2"/>
      </rPr>
      <t>EN - IR002- RIN 5 - Workbook 1 - Regulatory determination - Consolidated - 20200320 - Confidential</t>
    </r>
    <r>
      <rPr>
        <sz val="8"/>
        <color rgb="FF7030A0"/>
        <rFont val="Arial"/>
        <family val="2"/>
      </rPr>
      <t>.</t>
    </r>
  </si>
  <si>
    <t>We have format the cells by removing the % and rounded to four decimal points to avoid</t>
  </si>
  <si>
    <t xml:space="preserve">confusion in the calculation of  STPIS as referenced in 2016-20 Final decision Table 11.1. </t>
  </si>
  <si>
    <t>It is also in consistent with all other DNSPs' format in the Draft Decision</t>
  </si>
  <si>
    <t>FY 2020</t>
  </si>
  <si>
    <t>Inserted 2019/2020 actual performance</t>
  </si>
  <si>
    <t>Target recalculated by averaging 5 previous years actual financial performance based on the new definitions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</si>
</sst>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_);_(@_)"/>
    <numFmt numFmtId="167" formatCode="0.0000"/>
    <numFmt numFmtId="168" formatCode="_([$€-2]* #,##0.00_);_([$€-2]* \(#,##0.00\);_([$€-2]* &quot;-&quot;??_)"/>
    <numFmt numFmtId="169" formatCode="#,##0.000_ ;[Red]\-#,##0.000\ "/>
    <numFmt numFmtId="170" formatCode="_-* #,##0_-;\-* #,##0_-;_-* &quot;-&quot;??_-;_-@_-"/>
    <numFmt numFmtId="171" formatCode="0.0%"/>
    <numFmt numFmtId="172" formatCode="0.0"/>
    <numFmt numFmtId="173" formatCode="0.0;\-0.0;0.0;@"/>
    <numFmt numFmtId="174" formatCode="&quot;$&quot;#,##0;[Red]\-&quot;$&quot;#,##0;\ &quot;-&quot;"/>
    <numFmt numFmtId="175" formatCode="#,##0_ ;[Red]\-#,##0\ "/>
    <numFmt numFmtId="176" formatCode="_-* #,##0_-;[Red]\(#,##0\)_-;_-* &quot;-&quot;??_-;_-@_-"/>
    <numFmt numFmtId="177" formatCode="_(* #,##0.0_);_(* \(#,##0.0\);_(* &quot;-&quot;_);_(@_)"/>
    <numFmt numFmtId="178" formatCode="0.000"/>
    <numFmt numFmtId="179" formatCode="_(* #,##0_);_(* \(#,##0\);_(* &quot;-&quot;??_);_(@_)"/>
    <numFmt numFmtId="180" formatCode="0.00000"/>
    <numFmt numFmtId="181" formatCode="0.000000000"/>
  </numFmts>
  <fonts count="56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62"/>
      <name val="Calibri"/>
      <family val="2"/>
    </font>
    <font>
      <sz val="10"/>
      <color indexed="12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indexed="9"/>
      <name val="Arial"/>
      <family val="2"/>
    </font>
    <font>
      <b/>
      <sz val="12"/>
      <color theme="0"/>
      <name val="Calibri"/>
      <family val="2"/>
      <scheme val="minor"/>
    </font>
    <font>
      <sz val="10"/>
      <name val="Helv"/>
      <charset val="204"/>
    </font>
    <font>
      <sz val="14"/>
      <name val="System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</font>
    <font>
      <sz val="10"/>
      <color theme="1"/>
      <name val="Verdana"/>
      <family val="2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1"/>
      <color rgb="FF006100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b/>
      <sz val="10"/>
      <name val="Calibri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9"/>
      <color theme="1"/>
      <name val="Calibri"/>
      <family val="2"/>
      <scheme val="minor"/>
    </font>
    <font>
      <sz val="8"/>
      <color rgb="FF006100"/>
      <name val="Arial"/>
      <family val="2"/>
    </font>
    <font>
      <sz val="9"/>
      <color theme="1"/>
      <name val="Calibri"/>
      <family val="2"/>
      <scheme val="minor"/>
    </font>
    <font>
      <b/>
      <sz val="14"/>
      <name val="Arial"/>
      <family val="2"/>
    </font>
    <font>
      <b/>
      <sz val="8"/>
      <color rgb="FFFFFFFF"/>
      <name val="Arial"/>
      <family val="2"/>
    </font>
    <font>
      <b/>
      <sz val="8"/>
      <color rgb="FF170017"/>
      <name val="Arial"/>
      <family val="2"/>
    </font>
    <font>
      <sz val="8"/>
      <color rgb="FF00610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66FF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indexed="8"/>
      <name val="Calibri"/>
      <family val="2"/>
    </font>
    <font>
      <b/>
      <sz val="8"/>
      <name val="Calibri"/>
      <family val="2"/>
    </font>
    <font>
      <sz val="8"/>
      <color rgb="FF7030A0"/>
      <name val="Arial"/>
      <family val="2"/>
    </font>
    <font>
      <sz val="8"/>
      <color rgb="FF7030A0"/>
      <name val="Calibri"/>
      <family val="2"/>
      <scheme val="minor"/>
    </font>
    <font>
      <b/>
      <sz val="8"/>
      <color theme="9"/>
      <name val="Arial"/>
      <family val="2"/>
    </font>
    <font>
      <i/>
      <sz val="8"/>
      <color rgb="FF7030A0"/>
      <name val="Arial"/>
      <family val="2"/>
    </font>
    <font>
      <sz val="8"/>
      <color theme="5"/>
      <name val="Calibri"/>
      <family val="2"/>
      <scheme val="minor"/>
    </font>
    <font>
      <sz val="8"/>
      <color theme="5"/>
      <name val="Arial"/>
      <family val="2"/>
    </font>
    <font>
      <b/>
      <sz val="8"/>
      <color theme="5"/>
      <name val="Arial"/>
      <family val="2"/>
    </font>
    <font>
      <sz val="10"/>
      <color theme="5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365F91"/>
        <bgColor indexed="64"/>
      </patternFill>
    </fill>
    <fill>
      <patternFill patternType="solid">
        <fgColor rgb="FFDBE5F1"/>
        <bgColor indexed="64"/>
      </patternFill>
    </fill>
  </fills>
  <borders count="6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 style="medium">
        <color auto="1"/>
      </left>
      <right style="thin">
        <color auto="1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A6A6A6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rgb="FF365F9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7030A0"/>
      </left>
      <right/>
      <top/>
      <bottom/>
      <diagonal/>
    </border>
    <border>
      <left/>
      <right style="thick">
        <color theme="5"/>
      </right>
      <top/>
      <bottom/>
      <diagonal/>
    </border>
    <border>
      <left style="thick">
        <color theme="5"/>
      </left>
      <right/>
      <top/>
      <bottom/>
      <diagonal/>
    </border>
  </borders>
  <cellStyleXfs count="73">
    <xf numFmtId="0" fontId="0" fillId="0" borderId="0"/>
    <xf numFmtId="166" fontId="3" fillId="3" borderId="0" applyNumberFormat="0" applyFont="0" applyBorder="0" applyAlignment="0">
      <alignment horizontal="right"/>
    </xf>
    <xf numFmtId="165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6" fontId="3" fillId="4" borderId="0" applyFont="0" applyBorder="0" applyAlignment="0">
      <alignment horizontal="right"/>
      <protection locked="0"/>
    </xf>
    <xf numFmtId="166" fontId="3" fillId="4" borderId="0" applyFont="0" applyBorder="0" applyAlignment="0">
      <alignment horizontal="right"/>
      <protection locked="0"/>
    </xf>
    <xf numFmtId="166" fontId="3" fillId="4" borderId="0" applyFont="0" applyBorder="0" applyAlignment="0">
      <alignment horizontal="right"/>
      <protection locked="0"/>
    </xf>
    <xf numFmtId="166" fontId="3" fillId="4" borderId="0" applyFont="0" applyBorder="0" applyAlignment="0">
      <alignment horizontal="right"/>
      <protection locked="0"/>
    </xf>
    <xf numFmtId="0" fontId="7" fillId="6" borderId="0">
      <alignment horizontal="center"/>
    </xf>
    <xf numFmtId="166" fontId="3" fillId="5" borderId="0" applyFont="0" applyBorder="0">
      <alignment horizontal="right"/>
      <protection locked="0"/>
    </xf>
    <xf numFmtId="166" fontId="3" fillId="5" borderId="0" applyFont="0" applyBorder="0">
      <alignment horizontal="right"/>
      <protection locked="0"/>
    </xf>
    <xf numFmtId="166" fontId="3" fillId="5" borderId="0" applyFont="0" applyBorder="0">
      <alignment horizontal="right"/>
      <protection locked="0"/>
    </xf>
    <xf numFmtId="166" fontId="3" fillId="5" borderId="0" applyFont="0" applyBorder="0">
      <alignment horizontal="right"/>
      <protection locked="0"/>
    </xf>
    <xf numFmtId="0" fontId="4" fillId="0" borderId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4" fontId="2" fillId="2" borderId="1" applyNumberFormat="0" applyProtection="0">
      <alignment horizontal="left" vertical="center" indent="1"/>
    </xf>
    <xf numFmtId="4" fontId="2" fillId="0" borderId="1" applyNumberFormat="0" applyProtection="0">
      <alignment horizontal="right" vertical="center"/>
    </xf>
    <xf numFmtId="4" fontId="2" fillId="2" borderId="1" applyNumberFormat="0" applyProtection="0">
      <alignment horizontal="left" vertical="center" indent="1"/>
    </xf>
    <xf numFmtId="0" fontId="9" fillId="0" borderId="0"/>
    <xf numFmtId="0" fontId="10" fillId="8" borderId="0">
      <alignment horizontal="left" vertical="center"/>
      <protection locked="0"/>
    </xf>
    <xf numFmtId="0" fontId="11" fillId="7" borderId="0">
      <alignment vertical="center"/>
      <protection locked="0"/>
    </xf>
    <xf numFmtId="0" fontId="3" fillId="0" borderId="0"/>
    <xf numFmtId="168" fontId="3" fillId="0" borderId="0"/>
    <xf numFmtId="0" fontId="3" fillId="0" borderId="0"/>
    <xf numFmtId="168" fontId="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11" borderId="2" applyNumberFormat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3" fillId="9" borderId="3" applyFill="0">
      <alignment horizontal="right" vertical="center" wrapText="1"/>
      <protection locked="0"/>
    </xf>
    <xf numFmtId="169" fontId="8" fillId="10" borderId="4">
      <alignment horizontal="right" vertical="center" wrapText="1"/>
    </xf>
    <xf numFmtId="0" fontId="3" fillId="0" borderId="0"/>
    <xf numFmtId="0" fontId="3" fillId="0" borderId="0" applyFill="0"/>
    <xf numFmtId="0" fontId="3" fillId="0" borderId="0"/>
    <xf numFmtId="0" fontId="3" fillId="0" borderId="0"/>
    <xf numFmtId="0" fontId="9" fillId="0" borderId="0">
      <protection locked="0"/>
    </xf>
    <xf numFmtId="0" fontId="3" fillId="0" borderId="0"/>
    <xf numFmtId="0" fontId="3" fillId="0" borderId="0"/>
    <xf numFmtId="0" fontId="9" fillId="0" borderId="0"/>
    <xf numFmtId="0" fontId="9" fillId="0" borderId="0"/>
    <xf numFmtId="0" fontId="3" fillId="0" borderId="0" applyFill="0"/>
    <xf numFmtId="0" fontId="15" fillId="0" borderId="0"/>
    <xf numFmtId="0" fontId="9" fillId="0" borderId="0"/>
    <xf numFmtId="9" fontId="9" fillId="0" borderId="0" applyFont="0" applyFill="0" applyBorder="0" applyAlignment="0" applyProtection="0"/>
    <xf numFmtId="0" fontId="10" fillId="8" borderId="0">
      <alignment horizontal="left" vertical="center"/>
      <protection locked="0"/>
    </xf>
    <xf numFmtId="9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24" fillId="15" borderId="0" applyNumberFormat="0" applyBorder="0" applyAlignment="0" applyProtection="0"/>
    <xf numFmtId="0" fontId="29" fillId="7" borderId="9">
      <alignment vertical="center"/>
    </xf>
    <xf numFmtId="0" fontId="30" fillId="18" borderId="10" applyBorder="0">
      <alignment horizontal="right" vertical="center" wrapText="1" indent="1"/>
    </xf>
    <xf numFmtId="0" fontId="30" fillId="19" borderId="10" applyBorder="0">
      <alignment horizontal="right" vertical="center" wrapText="1" indent="1"/>
    </xf>
    <xf numFmtId="176" fontId="28" fillId="21" borderId="33" applyBorder="0">
      <alignment horizontal="right"/>
      <protection locked="0"/>
    </xf>
    <xf numFmtId="0" fontId="3" fillId="23" borderId="0"/>
    <xf numFmtId="0" fontId="1" fillId="0" borderId="0"/>
  </cellStyleXfs>
  <cellXfs count="216">
    <xf numFmtId="0" fontId="0" fillId="0" borderId="0" xfId="0"/>
    <xf numFmtId="0" fontId="17" fillId="12" borderId="0" xfId="0" applyFont="1" applyFill="1"/>
    <xf numFmtId="0" fontId="18" fillId="0" borderId="0" xfId="0" applyFont="1"/>
    <xf numFmtId="0" fontId="18" fillId="0" borderId="5" xfId="0" applyFont="1" applyBorder="1"/>
    <xf numFmtId="171" fontId="18" fillId="0" borderId="0" xfId="64" applyNumberFormat="1" applyFont="1"/>
    <xf numFmtId="0" fontId="19" fillId="0" borderId="5" xfId="0" applyFont="1" applyBorder="1"/>
    <xf numFmtId="0" fontId="21" fillId="12" borderId="0" xfId="0" applyFont="1" applyFill="1"/>
    <xf numFmtId="0" fontId="21" fillId="12" borderId="0" xfId="0" applyFont="1" applyFill="1" applyAlignment="1">
      <alignment horizontal="center"/>
    </xf>
    <xf numFmtId="0" fontId="0" fillId="0" borderId="0" xfId="0" applyFont="1"/>
    <xf numFmtId="0" fontId="18" fillId="0" borderId="0" xfId="0" applyFont="1" applyAlignment="1">
      <alignment horizontal="center"/>
    </xf>
    <xf numFmtId="0" fontId="19" fillId="13" borderId="5" xfId="0" applyFont="1" applyFill="1" applyBorder="1" applyAlignment="1">
      <alignment horizontal="center"/>
    </xf>
    <xf numFmtId="0" fontId="23" fillId="13" borderId="5" xfId="0" applyFont="1" applyFill="1" applyBorder="1" applyAlignment="1">
      <alignment horizontal="center"/>
    </xf>
    <xf numFmtId="0" fontId="18" fillId="14" borderId="0" xfId="0" applyFont="1" applyFill="1"/>
    <xf numFmtId="0" fontId="25" fillId="0" borderId="0" xfId="0" applyFont="1"/>
    <xf numFmtId="0" fontId="26" fillId="16" borderId="0" xfId="0" applyFont="1" applyFill="1" applyBorder="1" applyAlignment="1" applyProtection="1">
      <alignment horizontal="left"/>
      <protection locked="0"/>
    </xf>
    <xf numFmtId="0" fontId="26" fillId="16" borderId="6" xfId="0" applyFont="1" applyFill="1" applyBorder="1" applyAlignment="1" applyProtection="1">
      <alignment horizontal="right"/>
      <protection locked="0"/>
    </xf>
    <xf numFmtId="0" fontId="26" fillId="16" borderId="7" xfId="0" applyFont="1" applyFill="1" applyBorder="1" applyAlignment="1" applyProtection="1">
      <alignment horizontal="right"/>
      <protection locked="0"/>
    </xf>
    <xf numFmtId="0" fontId="26" fillId="16" borderId="8" xfId="0" applyFont="1" applyFill="1" applyBorder="1" applyAlignment="1" applyProtection="1">
      <alignment horizontal="right"/>
      <protection locked="0"/>
    </xf>
    <xf numFmtId="0" fontId="27" fillId="0" borderId="9" xfId="0" applyFont="1" applyBorder="1" applyAlignment="1">
      <alignment horizontal="left"/>
    </xf>
    <xf numFmtId="170" fontId="25" fillId="0" borderId="10" xfId="65" applyNumberFormat="1" applyFont="1" applyFill="1" applyBorder="1" applyAlignment="1">
      <alignment horizontal="left" vertical="center" wrapText="1"/>
    </xf>
    <xf numFmtId="170" fontId="25" fillId="0" borderId="11" xfId="65" applyNumberFormat="1" applyFont="1" applyFill="1" applyBorder="1" applyAlignment="1">
      <alignment horizontal="left" vertical="center" wrapText="1"/>
    </xf>
    <xf numFmtId="170" fontId="25" fillId="0" borderId="12" xfId="65" applyNumberFormat="1" applyFont="1" applyFill="1" applyBorder="1" applyAlignment="1">
      <alignment horizontal="left" vertical="center" wrapText="1"/>
    </xf>
    <xf numFmtId="17" fontId="25" fillId="6" borderId="13" xfId="0" applyNumberFormat="1" applyFont="1" applyFill="1" applyBorder="1" applyAlignment="1">
      <alignment vertical="center"/>
    </xf>
    <xf numFmtId="170" fontId="25" fillId="6" borderId="9" xfId="65" applyNumberFormat="1" applyFont="1" applyFill="1" applyBorder="1" applyAlignment="1">
      <alignment horizontal="left" vertical="center" wrapText="1"/>
    </xf>
    <xf numFmtId="170" fontId="25" fillId="6" borderId="14" xfId="65" applyNumberFormat="1" applyFont="1" applyFill="1" applyBorder="1" applyAlignment="1">
      <alignment horizontal="left" vertical="center" wrapText="1"/>
    </xf>
    <xf numFmtId="170" fontId="25" fillId="6" borderId="15" xfId="65" applyNumberFormat="1" applyFont="1" applyFill="1" applyBorder="1" applyAlignment="1">
      <alignment horizontal="left" vertical="center" wrapText="1"/>
    </xf>
    <xf numFmtId="0" fontId="25" fillId="0" borderId="0" xfId="0" applyFont="1" applyBorder="1"/>
    <xf numFmtId="0" fontId="27" fillId="0" borderId="10" xfId="0" applyFont="1" applyBorder="1"/>
    <xf numFmtId="17" fontId="25" fillId="0" borderId="16" xfId="0" applyNumberFormat="1" applyFont="1" applyBorder="1" applyAlignment="1">
      <alignment horizontal="left"/>
    </xf>
    <xf numFmtId="173" fontId="2" fillId="0" borderId="16" xfId="0" applyNumberFormat="1" applyFont="1" applyFill="1" applyBorder="1" applyAlignment="1"/>
    <xf numFmtId="17" fontId="25" fillId="0" borderId="17" xfId="0" applyNumberFormat="1" applyFont="1" applyFill="1" applyBorder="1" applyAlignment="1">
      <alignment horizontal="left"/>
    </xf>
    <xf numFmtId="173" fontId="2" fillId="0" borderId="17" xfId="0" applyNumberFormat="1" applyFont="1" applyFill="1" applyBorder="1" applyAlignment="1"/>
    <xf numFmtId="0" fontId="25" fillId="6" borderId="0" xfId="0" applyFont="1" applyFill="1"/>
    <xf numFmtId="17" fontId="25" fillId="0" borderId="17" xfId="0" applyNumberFormat="1" applyFont="1" applyBorder="1" applyAlignment="1">
      <alignment horizontal="left"/>
    </xf>
    <xf numFmtId="10" fontId="2" fillId="0" borderId="17" xfId="64" applyNumberFormat="1" applyFont="1" applyFill="1" applyBorder="1" applyAlignment="1"/>
    <xf numFmtId="0" fontId="25" fillId="0" borderId="18" xfId="0" applyFont="1" applyBorder="1"/>
    <xf numFmtId="0" fontId="26" fillId="16" borderId="0" xfId="0" applyFont="1" applyFill="1" applyBorder="1" applyAlignment="1" applyProtection="1">
      <alignment horizontal="right"/>
      <protection locked="0"/>
    </xf>
    <xf numFmtId="0" fontId="25" fillId="0" borderId="0" xfId="0" applyFont="1" applyFill="1"/>
    <xf numFmtId="165" fontId="25" fillId="0" borderId="0" xfId="0" applyNumberFormat="1" applyFont="1"/>
    <xf numFmtId="2" fontId="25" fillId="0" borderId="0" xfId="0" applyNumberFormat="1" applyFont="1"/>
    <xf numFmtId="0" fontId="26" fillId="16" borderId="0" xfId="0" applyFont="1" applyFill="1" applyAlignment="1" applyProtection="1">
      <alignment horizontal="right"/>
      <protection locked="0"/>
    </xf>
    <xf numFmtId="1" fontId="25" fillId="0" borderId="0" xfId="0" applyNumberFormat="1" applyFont="1"/>
    <xf numFmtId="176" fontId="25" fillId="0" borderId="0" xfId="0" applyNumberFormat="1" applyFont="1"/>
    <xf numFmtId="0" fontId="31" fillId="0" borderId="0" xfId="0" applyFont="1" applyFill="1" applyBorder="1" applyProtection="1">
      <protection locked="0"/>
    </xf>
    <xf numFmtId="0" fontId="26" fillId="16" borderId="0" xfId="0" applyFont="1" applyFill="1" applyProtection="1">
      <protection locked="0"/>
    </xf>
    <xf numFmtId="0" fontId="32" fillId="22" borderId="0" xfId="0" applyFont="1" applyFill="1" applyBorder="1" applyProtection="1">
      <protection locked="0"/>
    </xf>
    <xf numFmtId="0" fontId="2" fillId="22" borderId="0" xfId="0" applyFont="1" applyFill="1" applyBorder="1" applyProtection="1">
      <protection locked="0"/>
    </xf>
    <xf numFmtId="177" fontId="2" fillId="22" borderId="0" xfId="0" applyNumberFormat="1" applyFont="1" applyFill="1" applyBorder="1" applyProtection="1">
      <protection locked="0"/>
    </xf>
    <xf numFmtId="172" fontId="33" fillId="22" borderId="0" xfId="71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Border="1" applyProtection="1">
      <protection locked="0"/>
    </xf>
    <xf numFmtId="167" fontId="25" fillId="0" borderId="0" xfId="0" applyNumberFormat="1" applyFont="1" applyFill="1"/>
    <xf numFmtId="167" fontId="32" fillId="22" borderId="0" xfId="0" applyNumberFormat="1" applyFont="1" applyFill="1" applyBorder="1" applyProtection="1">
      <protection locked="0"/>
    </xf>
    <xf numFmtId="167" fontId="25" fillId="0" borderId="0" xfId="0" applyNumberFormat="1" applyFont="1"/>
    <xf numFmtId="0" fontId="32" fillId="0" borderId="0" xfId="0" applyFont="1" applyFill="1" applyBorder="1" applyProtection="1">
      <protection locked="0"/>
    </xf>
    <xf numFmtId="10" fontId="0" fillId="0" borderId="0" xfId="0" applyNumberFormat="1"/>
    <xf numFmtId="172" fontId="31" fillId="0" borderId="0" xfId="0" applyNumberFormat="1" applyFont="1"/>
    <xf numFmtId="0" fontId="34" fillId="0" borderId="0" xfId="0" applyFont="1"/>
    <xf numFmtId="10" fontId="25" fillId="0" borderId="0" xfId="0" applyNumberFormat="1" applyFont="1"/>
    <xf numFmtId="171" fontId="25" fillId="0" borderId="0" xfId="64" applyNumberFormat="1" applyFont="1"/>
    <xf numFmtId="171" fontId="25" fillId="0" borderId="0" xfId="0" applyNumberFormat="1" applyFont="1" applyFill="1"/>
    <xf numFmtId="0" fontId="27" fillId="0" borderId="0" xfId="0" applyFont="1"/>
    <xf numFmtId="0" fontId="2" fillId="22" borderId="0" xfId="0" applyFont="1" applyFill="1" applyBorder="1" applyAlignment="1" applyProtection="1">
      <alignment horizontal="right"/>
      <protection locked="0"/>
    </xf>
    <xf numFmtId="0" fontId="2" fillId="0" borderId="0" xfId="0" applyFont="1"/>
    <xf numFmtId="167" fontId="35" fillId="15" borderId="0" xfId="66" applyNumberFormat="1" applyFont="1" applyAlignment="1">
      <alignment horizontal="right"/>
    </xf>
    <xf numFmtId="9" fontId="2" fillId="0" borderId="0" xfId="0" applyNumberFormat="1" applyFont="1"/>
    <xf numFmtId="0" fontId="2" fillId="0" borderId="0" xfId="0" applyFont="1" applyAlignment="1">
      <alignment horizontal="right"/>
    </xf>
    <xf numFmtId="179" fontId="2" fillId="20" borderId="0" xfId="2" applyNumberFormat="1" applyFont="1" applyFill="1" applyAlignment="1">
      <alignment horizontal="right"/>
    </xf>
    <xf numFmtId="10" fontId="2" fillId="20" borderId="0" xfId="0" applyNumberFormat="1" applyFont="1" applyFill="1" applyAlignment="1">
      <alignment horizontal="right"/>
    </xf>
    <xf numFmtId="0" fontId="2" fillId="6" borderId="0" xfId="0" applyFont="1" applyFill="1" applyAlignment="1">
      <alignment horizontal="right"/>
    </xf>
    <xf numFmtId="0" fontId="36" fillId="0" borderId="0" xfId="0" applyFont="1"/>
    <xf numFmtId="3" fontId="2" fillId="20" borderId="0" xfId="0" applyNumberFormat="1" applyFont="1" applyFill="1" applyAlignment="1">
      <alignment horizontal="right"/>
    </xf>
    <xf numFmtId="3" fontId="2" fillId="0" borderId="0" xfId="0" applyNumberFormat="1" applyFont="1"/>
    <xf numFmtId="170" fontId="2" fillId="20" borderId="0" xfId="2" applyNumberFormat="1" applyFont="1" applyFill="1" applyAlignment="1">
      <alignment horizontal="right"/>
    </xf>
    <xf numFmtId="2" fontId="2" fillId="20" borderId="0" xfId="0" applyNumberFormat="1" applyFont="1" applyFill="1" applyAlignment="1">
      <alignment horizontal="right"/>
    </xf>
    <xf numFmtId="178" fontId="2" fillId="20" borderId="0" xfId="0" applyNumberFormat="1" applyFont="1" applyFill="1" applyAlignment="1">
      <alignment horizontal="right"/>
    </xf>
    <xf numFmtId="0" fontId="37" fillId="0" borderId="0" xfId="0" applyFont="1"/>
    <xf numFmtId="0" fontId="32" fillId="0" borderId="0" xfId="0" applyFont="1"/>
    <xf numFmtId="0" fontId="20" fillId="0" borderId="0" xfId="0" applyFont="1"/>
    <xf numFmtId="167" fontId="25" fillId="20" borderId="0" xfId="0" applyNumberFormat="1" applyFont="1" applyFill="1" applyBorder="1" applyAlignment="1">
      <alignment horizontal="right" vertical="center" wrapText="1"/>
    </xf>
    <xf numFmtId="0" fontId="20" fillId="20" borderId="0" xfId="0" applyFont="1" applyFill="1"/>
    <xf numFmtId="0" fontId="38" fillId="24" borderId="0" xfId="0" applyFont="1" applyFill="1" applyAlignment="1">
      <alignment horizontal="right" vertical="center" wrapText="1"/>
    </xf>
    <xf numFmtId="0" fontId="39" fillId="0" borderId="0" xfId="0" applyFont="1" applyFill="1" applyAlignment="1">
      <alignment vertical="center" wrapText="1"/>
    </xf>
    <xf numFmtId="0" fontId="25" fillId="0" borderId="0" xfId="0" applyFont="1" applyFill="1" applyAlignment="1">
      <alignment horizontal="right" vertical="center" wrapText="1"/>
    </xf>
    <xf numFmtId="0" fontId="20" fillId="0" borderId="0" xfId="0" applyFont="1" applyFill="1"/>
    <xf numFmtId="0" fontId="25" fillId="0" borderId="0" xfId="0" applyFont="1" applyFill="1" applyAlignment="1">
      <alignment vertical="center" wrapText="1"/>
    </xf>
    <xf numFmtId="0" fontId="0" fillId="0" borderId="0" xfId="0" applyFill="1"/>
    <xf numFmtId="0" fontId="25" fillId="0" borderId="5" xfId="0" applyFont="1" applyFill="1" applyBorder="1" applyAlignment="1">
      <alignment vertical="center" wrapText="1"/>
    </xf>
    <xf numFmtId="0" fontId="0" fillId="0" borderId="46" xfId="0" applyBorder="1"/>
    <xf numFmtId="170" fontId="25" fillId="0" borderId="5" xfId="65" applyNumberFormat="1" applyFont="1" applyFill="1" applyBorder="1" applyAlignment="1">
      <alignment horizontal="left" vertical="center" wrapText="1"/>
    </xf>
    <xf numFmtId="170" fontId="25" fillId="0" borderId="0" xfId="65" applyNumberFormat="1" applyFont="1" applyFill="1" applyBorder="1" applyAlignment="1">
      <alignment horizontal="left" vertical="center" wrapText="1"/>
    </xf>
    <xf numFmtId="0" fontId="26" fillId="24" borderId="0" xfId="0" applyFont="1" applyFill="1" applyAlignment="1">
      <alignment vertical="center" wrapText="1"/>
    </xf>
    <xf numFmtId="0" fontId="39" fillId="25" borderId="0" xfId="0" applyFont="1" applyFill="1" applyAlignment="1">
      <alignment vertical="center" wrapText="1"/>
    </xf>
    <xf numFmtId="0" fontId="25" fillId="0" borderId="0" xfId="0" applyFont="1" applyAlignment="1">
      <alignment vertical="center" wrapText="1"/>
    </xf>
    <xf numFmtId="178" fontId="25" fillId="0" borderId="0" xfId="0" applyNumberFormat="1" applyFont="1"/>
    <xf numFmtId="0" fontId="25" fillId="25" borderId="0" xfId="0" applyFont="1" applyFill="1" applyAlignment="1">
      <alignment vertical="center" wrapText="1"/>
    </xf>
    <xf numFmtId="0" fontId="25" fillId="25" borderId="47" xfId="0" applyFont="1" applyFill="1" applyBorder="1" applyAlignment="1">
      <alignment vertical="center" wrapText="1"/>
    </xf>
    <xf numFmtId="10" fontId="25" fillId="25" borderId="47" xfId="64" applyNumberFormat="1" applyFont="1" applyFill="1" applyBorder="1" applyAlignment="1">
      <alignment vertical="center" wrapText="1"/>
    </xf>
    <xf numFmtId="178" fontId="32" fillId="22" borderId="0" xfId="0" applyNumberFormat="1" applyFont="1" applyFill="1" applyBorder="1" applyProtection="1">
      <protection locked="0"/>
    </xf>
    <xf numFmtId="0" fontId="22" fillId="0" borderId="0" xfId="0" applyFont="1"/>
    <xf numFmtId="0" fontId="22" fillId="6" borderId="0" xfId="0" applyFont="1" applyFill="1"/>
    <xf numFmtId="0" fontId="22" fillId="0" borderId="18" xfId="0" applyFont="1" applyBorder="1"/>
    <xf numFmtId="0" fontId="22" fillId="0" borderId="0" xfId="0" applyFont="1" applyBorder="1"/>
    <xf numFmtId="165" fontId="40" fillId="15" borderId="0" xfId="66" applyNumberFormat="1" applyFont="1"/>
    <xf numFmtId="174" fontId="41" fillId="0" borderId="0" xfId="0" applyNumberFormat="1" applyFont="1" applyFill="1" applyBorder="1" applyAlignment="1">
      <alignment horizontal="left" vertical="top"/>
    </xf>
    <xf numFmtId="0" fontId="20" fillId="0" borderId="5" xfId="0" applyFont="1" applyBorder="1"/>
    <xf numFmtId="0" fontId="42" fillId="0" borderId="5" xfId="0" applyFont="1" applyBorder="1" applyAlignment="1">
      <alignment horizontal="center"/>
    </xf>
    <xf numFmtId="0" fontId="20" fillId="0" borderId="0" xfId="0" applyFont="1" applyBorder="1"/>
    <xf numFmtId="175" fontId="43" fillId="9" borderId="0" xfId="0" applyNumberFormat="1" applyFont="1" applyFill="1" applyAlignment="1">
      <alignment horizontal="center" vertical="top"/>
    </xf>
    <xf numFmtId="175" fontId="43" fillId="9" borderId="0" xfId="0" applyNumberFormat="1" applyFont="1" applyFill="1" applyBorder="1" applyAlignment="1">
      <alignment horizontal="center" vertical="top"/>
    </xf>
    <xf numFmtId="0" fontId="44" fillId="0" borderId="0" xfId="0" applyFont="1"/>
    <xf numFmtId="0" fontId="26" fillId="7" borderId="9" xfId="67" applyFont="1">
      <alignment vertical="center"/>
    </xf>
    <xf numFmtId="0" fontId="45" fillId="0" borderId="0" xfId="0" applyFont="1" applyBorder="1"/>
    <xf numFmtId="0" fontId="45" fillId="0" borderId="19" xfId="0" applyFont="1" applyBorder="1"/>
    <xf numFmtId="0" fontId="45" fillId="0" borderId="11" xfId="0" applyFont="1" applyBorder="1"/>
    <xf numFmtId="0" fontId="42" fillId="0" borderId="12" xfId="0" applyFont="1" applyBorder="1" applyAlignment="1">
      <alignment horizontal="center"/>
    </xf>
    <xf numFmtId="0" fontId="47" fillId="18" borderId="22" xfId="68" applyFont="1" applyBorder="1">
      <alignment horizontal="right" vertical="center" wrapText="1" indent="1"/>
    </xf>
    <xf numFmtId="0" fontId="47" fillId="18" borderId="23" xfId="68" applyFont="1" applyBorder="1">
      <alignment horizontal="right" vertical="center" wrapText="1" indent="1"/>
    </xf>
    <xf numFmtId="0" fontId="47" fillId="19" borderId="23" xfId="69" applyFont="1" applyBorder="1">
      <alignment horizontal="right" vertical="center" wrapText="1" indent="1"/>
    </xf>
    <xf numFmtId="0" fontId="47" fillId="19" borderId="24" xfId="69" applyFont="1" applyBorder="1">
      <alignment horizontal="right" vertical="center" wrapText="1" indent="1"/>
    </xf>
    <xf numFmtId="0" fontId="46" fillId="0" borderId="9" xfId="0" applyFont="1" applyBorder="1" applyAlignment="1" applyProtection="1">
      <alignment vertical="center" wrapText="1"/>
    </xf>
    <xf numFmtId="0" fontId="45" fillId="0" borderId="15" xfId="0" applyFont="1" applyBorder="1" applyAlignment="1">
      <alignment horizontal="center" vertical="center" wrapText="1"/>
    </xf>
    <xf numFmtId="0" fontId="45" fillId="0" borderId="25" xfId="0" applyFont="1" applyBorder="1"/>
    <xf numFmtId="0" fontId="45" fillId="0" borderId="26" xfId="0" applyFont="1" applyBorder="1"/>
    <xf numFmtId="0" fontId="45" fillId="0" borderId="27" xfId="0" applyFont="1" applyBorder="1"/>
    <xf numFmtId="0" fontId="46" fillId="14" borderId="28" xfId="0" applyFont="1" applyFill="1" applyBorder="1" applyAlignment="1" applyProtection="1">
      <alignment horizontal="left" vertical="center" wrapText="1"/>
    </xf>
    <xf numFmtId="0" fontId="45" fillId="20" borderId="29" xfId="0" applyFont="1" applyFill="1" applyBorder="1" applyAlignment="1">
      <alignment horizontal="center" vertical="center" wrapText="1"/>
    </xf>
    <xf numFmtId="169" fontId="45" fillId="20" borderId="29" xfId="65" applyNumberFormat="1" applyFont="1" applyFill="1" applyBorder="1"/>
    <xf numFmtId="169" fontId="45" fillId="20" borderId="30" xfId="65" applyNumberFormat="1" applyFont="1" applyFill="1" applyBorder="1"/>
    <xf numFmtId="0" fontId="45" fillId="0" borderId="31" xfId="0" applyFont="1" applyBorder="1" applyAlignment="1" applyProtection="1">
      <alignment horizontal="left" vertical="center" wrapText="1" indent="1"/>
    </xf>
    <xf numFmtId="0" fontId="45" fillId="0" borderId="32" xfId="0" applyFont="1" applyBorder="1" applyAlignment="1">
      <alignment horizontal="center" vertical="center" wrapText="1"/>
    </xf>
    <xf numFmtId="176" fontId="22" fillId="21" borderId="34" xfId="70" applyNumberFormat="1" applyFont="1" applyBorder="1">
      <alignment horizontal="right"/>
      <protection locked="0"/>
    </xf>
    <xf numFmtId="176" fontId="22" fillId="21" borderId="35" xfId="70" applyNumberFormat="1" applyFont="1" applyBorder="1">
      <alignment horizontal="right"/>
      <protection locked="0"/>
    </xf>
    <xf numFmtId="176" fontId="22" fillId="21" borderId="36" xfId="70" applyNumberFormat="1" applyFont="1" applyBorder="1">
      <alignment horizontal="right"/>
      <protection locked="0"/>
    </xf>
    <xf numFmtId="0" fontId="45" fillId="0" borderId="37" xfId="0" applyFont="1" applyBorder="1" applyAlignment="1" applyProtection="1">
      <alignment horizontal="left" vertical="center" wrapText="1" indent="1"/>
    </xf>
    <xf numFmtId="0" fontId="45" fillId="0" borderId="38" xfId="0" applyFont="1" applyBorder="1" applyAlignment="1">
      <alignment horizontal="center" vertical="center" wrapText="1"/>
    </xf>
    <xf numFmtId="176" fontId="22" fillId="21" borderId="39" xfId="70" applyNumberFormat="1" applyFont="1" applyBorder="1">
      <alignment horizontal="right"/>
      <protection locked="0"/>
    </xf>
    <xf numFmtId="176" fontId="22" fillId="21" borderId="4" xfId="70" applyNumberFormat="1" applyFont="1" applyBorder="1">
      <alignment horizontal="right"/>
      <protection locked="0"/>
    </xf>
    <xf numFmtId="176" fontId="22" fillId="21" borderId="40" xfId="70" applyNumberFormat="1" applyFont="1" applyBorder="1">
      <alignment horizontal="right"/>
      <protection locked="0"/>
    </xf>
    <xf numFmtId="0" fontId="45" fillId="0" borderId="41" xfId="0" applyFont="1" applyBorder="1" applyAlignment="1" applyProtection="1">
      <alignment horizontal="left" vertical="center" wrapText="1" indent="1"/>
    </xf>
    <xf numFmtId="0" fontId="45" fillId="0" borderId="42" xfId="0" applyFont="1" applyBorder="1" applyAlignment="1">
      <alignment horizontal="center" vertical="center" wrapText="1"/>
    </xf>
    <xf numFmtId="176" fontId="22" fillId="21" borderId="43" xfId="70" applyNumberFormat="1" applyFont="1" applyBorder="1">
      <alignment horizontal="right"/>
      <protection locked="0"/>
    </xf>
    <xf numFmtId="176" fontId="22" fillId="21" borderId="44" xfId="70" applyNumberFormat="1" applyFont="1" applyBorder="1">
      <alignment horizontal="right"/>
      <protection locked="0"/>
    </xf>
    <xf numFmtId="176" fontId="22" fillId="21" borderId="45" xfId="70" applyNumberFormat="1" applyFont="1" applyBorder="1">
      <alignment horizontal="right"/>
      <protection locked="0"/>
    </xf>
    <xf numFmtId="165" fontId="0" fillId="0" borderId="0" xfId="0" applyNumberFormat="1"/>
    <xf numFmtId="180" fontId="2" fillId="20" borderId="0" xfId="0" applyNumberFormat="1" applyFont="1" applyFill="1" applyAlignment="1">
      <alignment horizontal="right"/>
    </xf>
    <xf numFmtId="0" fontId="26" fillId="0" borderId="0" xfId="0" applyFont="1" applyFill="1" applyAlignment="1" applyProtection="1">
      <alignment horizontal="right"/>
      <protection locked="0"/>
    </xf>
    <xf numFmtId="167" fontId="25" fillId="0" borderId="0" xfId="0" applyNumberFormat="1" applyFont="1" applyFill="1" applyBorder="1" applyAlignment="1">
      <alignment horizontal="right" vertical="center" wrapText="1"/>
    </xf>
    <xf numFmtId="0" fontId="26" fillId="0" borderId="0" xfId="0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167" fontId="35" fillId="0" borderId="0" xfId="66" applyNumberFormat="1" applyFont="1" applyFill="1" applyAlignment="1">
      <alignment horizontal="right"/>
    </xf>
    <xf numFmtId="0" fontId="31" fillId="6" borderId="0" xfId="0" applyFont="1" applyFill="1"/>
    <xf numFmtId="0" fontId="25" fillId="0" borderId="11" xfId="0" applyFont="1" applyBorder="1"/>
    <xf numFmtId="0" fontId="25" fillId="0" borderId="49" xfId="0" applyFont="1" applyBorder="1"/>
    <xf numFmtId="0" fontId="25" fillId="0" borderId="50" xfId="0" applyFont="1" applyBorder="1"/>
    <xf numFmtId="0" fontId="25" fillId="0" borderId="51" xfId="0" applyFont="1" applyBorder="1"/>
    <xf numFmtId="0" fontId="25" fillId="0" borderId="52" xfId="0" applyFont="1" applyBorder="1"/>
    <xf numFmtId="0" fontId="25" fillId="0" borderId="53" xfId="0" applyFont="1" applyBorder="1"/>
    <xf numFmtId="0" fontId="25" fillId="0" borderId="54" xfId="0" applyFont="1" applyBorder="1"/>
    <xf numFmtId="0" fontId="25" fillId="0" borderId="5" xfId="0" applyFont="1" applyBorder="1"/>
    <xf numFmtId="0" fontId="25" fillId="0" borderId="8" xfId="0" applyFont="1" applyBorder="1"/>
    <xf numFmtId="0" fontId="25" fillId="0" borderId="12" xfId="0" applyFont="1" applyBorder="1"/>
    <xf numFmtId="0" fontId="25" fillId="0" borderId="10" xfId="0" applyFont="1" applyBorder="1"/>
    <xf numFmtId="0" fontId="2" fillId="7" borderId="0" xfId="0" applyFont="1" applyFill="1"/>
    <xf numFmtId="0" fontId="25" fillId="0" borderId="48" xfId="0" applyFont="1" applyBorder="1"/>
    <xf numFmtId="0" fontId="25" fillId="0" borderId="56" xfId="0" applyFont="1" applyBorder="1"/>
    <xf numFmtId="0" fontId="25" fillId="0" borderId="57" xfId="0" applyFont="1" applyBorder="1"/>
    <xf numFmtId="0" fontId="25" fillId="0" borderId="58" xfId="0" applyFont="1" applyBorder="1"/>
    <xf numFmtId="176" fontId="48" fillId="0" borderId="0" xfId="0" applyNumberFormat="1" applyFont="1"/>
    <xf numFmtId="0" fontId="48" fillId="0" borderId="0" xfId="0" applyFont="1"/>
    <xf numFmtId="175" fontId="49" fillId="9" borderId="0" xfId="0" applyNumberFormat="1" applyFont="1" applyFill="1" applyAlignment="1">
      <alignment horizontal="center" vertical="top"/>
    </xf>
    <xf numFmtId="175" fontId="49" fillId="9" borderId="0" xfId="0" applyNumberFormat="1" applyFont="1" applyFill="1" applyBorder="1" applyAlignment="1">
      <alignment horizontal="center" vertical="top"/>
    </xf>
    <xf numFmtId="0" fontId="48" fillId="0" borderId="0" xfId="0" applyFont="1" applyFill="1" applyAlignment="1">
      <alignment vertical="center"/>
    </xf>
    <xf numFmtId="178" fontId="48" fillId="0" borderId="0" xfId="0" applyNumberFormat="1" applyFont="1"/>
    <xf numFmtId="3" fontId="48" fillId="20" borderId="0" xfId="0" applyNumberFormat="1" applyFont="1" applyFill="1" applyAlignment="1">
      <alignment horizontal="right"/>
    </xf>
    <xf numFmtId="3" fontId="48" fillId="20" borderId="0" xfId="0" applyNumberFormat="1" applyFont="1" applyFill="1" applyAlignment="1">
      <alignment horizontal="left"/>
    </xf>
    <xf numFmtId="10" fontId="48" fillId="20" borderId="0" xfId="0" applyNumberFormat="1" applyFont="1" applyFill="1" applyAlignment="1">
      <alignment horizontal="left"/>
    </xf>
    <xf numFmtId="0" fontId="50" fillId="16" borderId="0" xfId="0" applyFont="1" applyFill="1" applyBorder="1" applyAlignment="1" applyProtection="1">
      <alignment horizontal="right"/>
      <protection locked="0"/>
    </xf>
    <xf numFmtId="2" fontId="48" fillId="20" borderId="59" xfId="0" applyNumberFormat="1" applyFont="1" applyFill="1" applyBorder="1" applyAlignment="1">
      <alignment horizontal="left"/>
    </xf>
    <xf numFmtId="0" fontId="20" fillId="0" borderId="59" xfId="0" applyFont="1" applyFill="1" applyBorder="1"/>
    <xf numFmtId="0" fontId="48" fillId="0" borderId="59" xfId="0" applyFont="1" applyFill="1" applyBorder="1"/>
    <xf numFmtId="0" fontId="2" fillId="0" borderId="0" xfId="0" applyFont="1" applyFill="1"/>
    <xf numFmtId="181" fontId="2" fillId="0" borderId="0" xfId="64" applyNumberFormat="1" applyFont="1" applyFill="1" applyAlignment="1">
      <alignment horizontal="right"/>
    </xf>
    <xf numFmtId="0" fontId="49" fillId="0" borderId="0" xfId="0" applyFont="1"/>
    <xf numFmtId="178" fontId="2" fillId="0" borderId="0" xfId="0" applyNumberFormat="1" applyFont="1" applyFill="1" applyBorder="1" applyProtection="1">
      <protection locked="0"/>
    </xf>
    <xf numFmtId="178" fontId="2" fillId="0" borderId="0" xfId="0" applyNumberFormat="1" applyFont="1" applyFill="1"/>
    <xf numFmtId="178" fontId="2" fillId="22" borderId="0" xfId="71" applyNumberFormat="1" applyFont="1" applyFill="1" applyBorder="1" applyAlignment="1" applyProtection="1">
      <alignment horizontal="right" vertical="center" wrapText="1"/>
    </xf>
    <xf numFmtId="0" fontId="48" fillId="0" borderId="0" xfId="0" applyFont="1" applyFill="1" applyBorder="1" applyAlignment="1" applyProtection="1">
      <alignment horizontal="left"/>
      <protection locked="0"/>
    </xf>
    <xf numFmtId="167" fontId="53" fillId="20" borderId="0" xfId="64" applyNumberFormat="1" applyFont="1" applyFill="1" applyBorder="1" applyAlignment="1">
      <alignment horizontal="right" vertical="center" wrapText="1"/>
    </xf>
    <xf numFmtId="0" fontId="52" fillId="20" borderId="0" xfId="0" applyFont="1" applyFill="1" applyBorder="1"/>
    <xf numFmtId="167" fontId="53" fillId="20" borderId="60" xfId="64" applyNumberFormat="1" applyFont="1" applyFill="1" applyBorder="1" applyAlignment="1">
      <alignment horizontal="right" vertical="center" wrapText="1"/>
    </xf>
    <xf numFmtId="0" fontId="52" fillId="0" borderId="0" xfId="0" applyFont="1" applyBorder="1"/>
    <xf numFmtId="0" fontId="54" fillId="24" borderId="0" xfId="0" applyFont="1" applyFill="1" applyAlignment="1">
      <alignment vertical="center" wrapText="1"/>
    </xf>
    <xf numFmtId="0" fontId="53" fillId="0" borderId="0" xfId="0" applyFont="1"/>
    <xf numFmtId="178" fontId="53" fillId="0" borderId="0" xfId="0" applyNumberFormat="1" applyFont="1"/>
    <xf numFmtId="10" fontId="53" fillId="25" borderId="47" xfId="64" applyNumberFormat="1" applyFont="1" applyFill="1" applyBorder="1" applyAlignment="1">
      <alignment vertical="center" wrapText="1"/>
    </xf>
    <xf numFmtId="0" fontId="53" fillId="0" borderId="61" xfId="0" applyFont="1" applyFill="1" applyBorder="1" applyAlignment="1">
      <alignment vertical="center"/>
    </xf>
    <xf numFmtId="0" fontId="0" fillId="0" borderId="61" xfId="0" applyBorder="1"/>
    <xf numFmtId="0" fontId="53" fillId="0" borderId="0" xfId="0" applyFont="1" applyFill="1" applyBorder="1" applyAlignment="1">
      <alignment vertical="center"/>
    </xf>
    <xf numFmtId="0" fontId="18" fillId="0" borderId="0" xfId="0" applyFont="1" applyBorder="1"/>
    <xf numFmtId="178" fontId="53" fillId="0" borderId="0" xfId="0" applyNumberFormat="1" applyFont="1" applyFill="1" applyBorder="1" applyProtection="1">
      <protection locked="0"/>
    </xf>
    <xf numFmtId="181" fontId="53" fillId="15" borderId="0" xfId="64" applyNumberFormat="1" applyFont="1" applyFill="1" applyAlignment="1">
      <alignment horizontal="right"/>
    </xf>
    <xf numFmtId="178" fontId="53" fillId="20" borderId="0" xfId="0" applyNumberFormat="1" applyFont="1" applyFill="1" applyAlignment="1">
      <alignment horizontal="right"/>
    </xf>
    <xf numFmtId="178" fontId="53" fillId="0" borderId="0" xfId="0" applyNumberFormat="1" applyFont="1" applyFill="1" applyAlignment="1">
      <alignment horizontal="right" vertical="center" wrapText="1"/>
    </xf>
    <xf numFmtId="0" fontId="53" fillId="0" borderId="0" xfId="0" applyFont="1" applyFill="1" applyAlignment="1">
      <alignment horizontal="right" vertical="center" wrapText="1"/>
    </xf>
    <xf numFmtId="180" fontId="53" fillId="0" borderId="0" xfId="0" applyNumberFormat="1" applyFont="1" applyFill="1" applyAlignment="1">
      <alignment horizontal="right" vertical="center" wrapText="1"/>
    </xf>
    <xf numFmtId="178" fontId="53" fillId="0" borderId="5" xfId="64" applyNumberFormat="1" applyFont="1" applyFill="1" applyBorder="1" applyAlignment="1">
      <alignment horizontal="right" vertical="center" wrapText="1"/>
    </xf>
    <xf numFmtId="178" fontId="55" fillId="0" borderId="0" xfId="0" applyNumberFormat="1" applyFont="1"/>
    <xf numFmtId="10" fontId="55" fillId="0" borderId="0" xfId="64" applyNumberFormat="1" applyFont="1"/>
    <xf numFmtId="0" fontId="46" fillId="17" borderId="20" xfId="0" applyFont="1" applyFill="1" applyBorder="1" applyAlignment="1">
      <alignment horizontal="center"/>
    </xf>
    <xf numFmtId="0" fontId="46" fillId="17" borderId="5" xfId="0" applyFont="1" applyFill="1" applyBorder="1" applyAlignment="1">
      <alignment horizontal="center"/>
    </xf>
    <xf numFmtId="0" fontId="42" fillId="17" borderId="20" xfId="0" applyFont="1" applyFill="1" applyBorder="1" applyAlignment="1">
      <alignment horizontal="center" vertical="center"/>
    </xf>
    <xf numFmtId="0" fontId="42" fillId="17" borderId="5" xfId="0" applyFont="1" applyFill="1" applyBorder="1" applyAlignment="1">
      <alignment horizontal="center" vertical="center"/>
    </xf>
    <xf numFmtId="0" fontId="42" fillId="17" borderId="21" xfId="0" applyFont="1" applyFill="1" applyBorder="1" applyAlignment="1">
      <alignment horizontal="center" vertical="center"/>
    </xf>
    <xf numFmtId="0" fontId="25" fillId="0" borderId="55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73">
    <cellStyle name=" 1" xfId="23" xr:uid="{00000000-0005-0000-0000-000000000000}"/>
    <cellStyle name=" 1 2" xfId="24" xr:uid="{00000000-0005-0000-0000-000001000000}"/>
    <cellStyle name=" 1 2 2" xfId="25" xr:uid="{00000000-0005-0000-0000-000002000000}"/>
    <cellStyle name=" 1 3" xfId="26" xr:uid="{00000000-0005-0000-0000-000003000000}"/>
    <cellStyle name=" 1 3 2" xfId="27" xr:uid="{00000000-0005-0000-0000-000004000000}"/>
    <cellStyle name=" 1 4" xfId="28" xr:uid="{00000000-0005-0000-0000-000005000000}"/>
    <cellStyle name="_3GIS model v2.77_Distribution Business_Retail Fin Perform " xfId="29" xr:uid="{00000000-0005-0000-0000-000006000000}"/>
    <cellStyle name="_3GIS model v2.77_Fleet Overhead Costs 2_Retail Fin Perform " xfId="30" xr:uid="{00000000-0005-0000-0000-000007000000}"/>
    <cellStyle name="_3GIS model v2.77_Fleet Overhead Costs_Retail Fin Perform " xfId="31" xr:uid="{00000000-0005-0000-0000-000008000000}"/>
    <cellStyle name="_3GIS model v2.77_Forecast 2_Retail Fin Perform " xfId="32" xr:uid="{00000000-0005-0000-0000-000009000000}"/>
    <cellStyle name="_3GIS model v2.77_Forecast_Retail Fin Perform " xfId="33" xr:uid="{00000000-0005-0000-0000-00000A000000}"/>
    <cellStyle name="_3GIS model v2.77_Funding &amp; Cashflow_1_Retail Fin Perform " xfId="34" xr:uid="{00000000-0005-0000-0000-00000B000000}"/>
    <cellStyle name="_3GIS model v2.77_Funding &amp; Cashflow_Retail Fin Perform " xfId="35" xr:uid="{00000000-0005-0000-0000-00000C000000}"/>
    <cellStyle name="_3GIS model v2.77_Group P&amp;L_1_Retail Fin Perform " xfId="36" xr:uid="{00000000-0005-0000-0000-00000D000000}"/>
    <cellStyle name="_3GIS model v2.77_Group P&amp;L_Retail Fin Perform " xfId="37" xr:uid="{00000000-0005-0000-0000-00000E000000}"/>
    <cellStyle name="_3GIS model v2.77_Opening  Detailed BS_Retail Fin Perform " xfId="38" xr:uid="{00000000-0005-0000-0000-00000F000000}"/>
    <cellStyle name="_3GIS model v2.77_OUTPUT DB_Retail Fin Perform " xfId="39" xr:uid="{00000000-0005-0000-0000-000010000000}"/>
    <cellStyle name="_3GIS model v2.77_OUTPUT EB_Retail Fin Perform " xfId="40" xr:uid="{00000000-0005-0000-0000-000011000000}"/>
    <cellStyle name="_3GIS model v2.77_Report_Retail Fin Perform " xfId="41" xr:uid="{00000000-0005-0000-0000-000012000000}"/>
    <cellStyle name="_3GIS model v2.77_Retail Fin Perform " xfId="42" xr:uid="{00000000-0005-0000-0000-000013000000}"/>
    <cellStyle name="_3GIS model v2.77_Sheet2 2_Retail Fin Perform " xfId="43" xr:uid="{00000000-0005-0000-0000-000014000000}"/>
    <cellStyle name="_3GIS model v2.77_Sheet2_Retail Fin Perform " xfId="44" xr:uid="{00000000-0005-0000-0000-000015000000}"/>
    <cellStyle name="Blockout" xfId="1" xr:uid="{00000000-0005-0000-0000-000016000000}"/>
    <cellStyle name="Check Cell 2 2 2 2" xfId="45" xr:uid="{00000000-0005-0000-0000-000017000000}"/>
    <cellStyle name="Comma" xfId="65" builtinId="3"/>
    <cellStyle name="Comma 2" xfId="2" xr:uid="{00000000-0005-0000-0000-000019000000}"/>
    <cellStyle name="Currency 11" xfId="46" xr:uid="{00000000-0005-0000-0000-00001A000000}"/>
    <cellStyle name="Currency 2" xfId="47" xr:uid="{00000000-0005-0000-0000-00001B000000}"/>
    <cellStyle name="dms_1" xfId="67" xr:uid="{00000000-0005-0000-0000-00001C000000}"/>
    <cellStyle name="dms_GY1" xfId="69" xr:uid="{00000000-0005-0000-0000-00001D000000}"/>
    <cellStyle name="dms_GY2" xfId="68" xr:uid="{00000000-0005-0000-0000-00001E000000}"/>
    <cellStyle name="dms_NUM" xfId="70" xr:uid="{00000000-0005-0000-0000-00001F000000}"/>
    <cellStyle name="Good" xfId="66" builtinId="26"/>
    <cellStyle name="Heading 4 2" xfId="3" xr:uid="{00000000-0005-0000-0000-000021000000}"/>
    <cellStyle name="Input1" xfId="4" xr:uid="{00000000-0005-0000-0000-000022000000}"/>
    <cellStyle name="Input1 2" xfId="5" xr:uid="{00000000-0005-0000-0000-000023000000}"/>
    <cellStyle name="Input1 3" xfId="6" xr:uid="{00000000-0005-0000-0000-000024000000}"/>
    <cellStyle name="Input1 4" xfId="7" xr:uid="{00000000-0005-0000-0000-000025000000}"/>
    <cellStyle name="Input2" xfId="8" xr:uid="{00000000-0005-0000-0000-000026000000}"/>
    <cellStyle name="Input3" xfId="9" xr:uid="{00000000-0005-0000-0000-000027000000}"/>
    <cellStyle name="Input3 2" xfId="10" xr:uid="{00000000-0005-0000-0000-000028000000}"/>
    <cellStyle name="Input3 3" xfId="11" xr:uid="{00000000-0005-0000-0000-000029000000}"/>
    <cellStyle name="Input3 4" xfId="12" xr:uid="{00000000-0005-0000-0000-00002A000000}"/>
    <cellStyle name="InputCell" xfId="48" xr:uid="{00000000-0005-0000-0000-00002B000000}"/>
    <cellStyle name="NonInputCell" xfId="49" xr:uid="{00000000-0005-0000-0000-00002C000000}"/>
    <cellStyle name="Normal" xfId="0" builtinId="0"/>
    <cellStyle name="Normal 10" xfId="50" xr:uid="{00000000-0005-0000-0000-00002E000000}"/>
    <cellStyle name="Normal 114" xfId="51" xr:uid="{00000000-0005-0000-0000-00002F000000}"/>
    <cellStyle name="Normal 13" xfId="52" xr:uid="{00000000-0005-0000-0000-000030000000}"/>
    <cellStyle name="Normal 13 2" xfId="53" xr:uid="{00000000-0005-0000-0000-000031000000}"/>
    <cellStyle name="Normal 14" xfId="20" xr:uid="{00000000-0005-0000-0000-000032000000}"/>
    <cellStyle name="Normal 2" xfId="13" xr:uid="{00000000-0005-0000-0000-000033000000}"/>
    <cellStyle name="Normal 2 2" xfId="55" xr:uid="{00000000-0005-0000-0000-000034000000}"/>
    <cellStyle name="Normal 2 2 2" xfId="56" xr:uid="{00000000-0005-0000-0000-000035000000}"/>
    <cellStyle name="Normal 2 3" xfId="54" xr:uid="{00000000-0005-0000-0000-000036000000}"/>
    <cellStyle name="Normal 20" xfId="72" xr:uid="{02998048-5FE1-442E-849C-FD3CEACBAA1E}"/>
    <cellStyle name="Normal 215" xfId="14" xr:uid="{00000000-0005-0000-0000-000037000000}"/>
    <cellStyle name="Normal 3" xfId="15" xr:uid="{00000000-0005-0000-0000-000038000000}"/>
    <cellStyle name="Normal 3 2" xfId="57" xr:uid="{00000000-0005-0000-0000-000039000000}"/>
    <cellStyle name="Normal 3 5" xfId="58" xr:uid="{00000000-0005-0000-0000-00003A000000}"/>
    <cellStyle name="Normal 4" xfId="59" xr:uid="{00000000-0005-0000-0000-00003B000000}"/>
    <cellStyle name="Normal 5" xfId="60" xr:uid="{00000000-0005-0000-0000-00003C000000}"/>
    <cellStyle name="Normal 8 2" xfId="61" xr:uid="{00000000-0005-0000-0000-00003D000000}"/>
    <cellStyle name="Normal_2010 07 28 - AA - Template for data collection" xfId="71" xr:uid="{00000000-0005-0000-0000-00003E000000}"/>
    <cellStyle name="Percent" xfId="64" builtinId="5"/>
    <cellStyle name="Percent 2" xfId="16" xr:uid="{00000000-0005-0000-0000-000040000000}"/>
    <cellStyle name="Percent 3 4" xfId="62" xr:uid="{00000000-0005-0000-0000-000041000000}"/>
    <cellStyle name="RIN_TB2" xfId="63" xr:uid="{00000000-0005-0000-0000-000042000000}"/>
    <cellStyle name="SAPBEXchaText" xfId="17" xr:uid="{00000000-0005-0000-0000-000043000000}"/>
    <cellStyle name="SAPBEXstdData" xfId="18" xr:uid="{00000000-0005-0000-0000-000044000000}"/>
    <cellStyle name="SAPBEXstdItem" xfId="19" xr:uid="{00000000-0005-0000-0000-000045000000}"/>
    <cellStyle name="TableLvl2" xfId="21" xr:uid="{00000000-0005-0000-0000-000046000000}"/>
    <cellStyle name="TableLvl3" xfId="22" xr:uid="{00000000-0005-0000-0000-000047000000}"/>
  </cellStyles>
  <dxfs count="3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33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1447800</xdr:colOff>
      <xdr:row>41</xdr:row>
      <xdr:rowOff>171450</xdr:rowOff>
    </xdr:from>
    <xdr:to>
      <xdr:col>9</xdr:col>
      <xdr:colOff>299647</xdr:colOff>
      <xdr:row>58</xdr:row>
      <xdr:rowOff>11844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F0D6B5-9F22-4FB7-9E97-632F91CA4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20425" y="7981950"/>
          <a:ext cx="4023922" cy="2964594"/>
        </a:xfrm>
        <a:prstGeom prst="rect">
          <a:avLst/>
        </a:prstGeom>
      </xdr:spPr>
    </xdr:pic>
    <xdr:clientData/>
  </xdr:twoCellAnchor>
  <xdr:twoCellAnchor editAs="oneCell">
    <xdr:from>
      <xdr:col>6</xdr:col>
      <xdr:colOff>9526</xdr:colOff>
      <xdr:row>34</xdr:row>
      <xdr:rowOff>9526</xdr:rowOff>
    </xdr:from>
    <xdr:to>
      <xdr:col>9</xdr:col>
      <xdr:colOff>335836</xdr:colOff>
      <xdr:row>41</xdr:row>
      <xdr:rowOff>17333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1419344-D240-41EB-A523-DE37183DF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06151" y="6486526"/>
          <a:ext cx="3974385" cy="1341307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5</xdr:col>
      <xdr:colOff>695325</xdr:colOff>
      <xdr:row>51</xdr:row>
      <xdr:rowOff>104775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CE66049-E24A-4890-8A19-A641C90EB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8191500"/>
          <a:ext cx="2105025" cy="1628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ER\VicEDPR%202021-25\3%20Jemena\1%20Proposal\Info%20request\IR054%20-%20downloaded%20from%20Ourshare%2030%20July%202020%20-%20STPIS%20draft%20decision%20model\CitiPower%20STPIS%20target%20calculation%202021_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ER\VicEDPR%202021-25\3%20Jemena\1%20Proposal\Info%20request\IR054%20-%20downloaded%20from%20Ourshare%2030%20July%202020%20-%20STPIS%20draft%20decision%20model\CitiPower%20-%20RIN001%20-%20Workbook%201%20-%20Reg%20Determination%20-%2031%20January%202020%20(1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ffline%20works\AER%20reports\AER%202016%20annual%20report\All_DNSPs_2016-20_-_Annual_Reporting_RIN_-_Appendix_B_-_blank_template_(unlocked)_cl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ER\VicEDPR%202021-25\3%20Jemena\1%20Proposal\Info%20request\IR054%20-%20downloaded%20from%20Ourshare%2030%20July%202020%20-%20STPIS%20draft%20decision%20model\Powercor%20STPIS%20target%20calculation%20v0.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ulam\AppData\Local\Microsoft\Windows\INetCache\Content.Outlook\XEK9P19P\JEN%205Y%20PTRM%20(2021-26)%20Draft%20Decisio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Formats"/>
      <sheetName val="Input_reliability"/>
      <sheetName val="Input_calls"/>
      <sheetName val="Input_GE"/>
      <sheetName val="Calculations"/>
      <sheetName val="Output"/>
      <sheetName val="May's 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Sheet Heading"/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CPI series"/>
      <sheetName val="2.1 Expenditure summary"/>
      <sheetName val="2.2 Repex"/>
      <sheetName val="2.3 Augex (a)"/>
      <sheetName val="2.3 Augex (b)"/>
      <sheetName val="2.5 Connections"/>
      <sheetName val="2.6 Non-network"/>
      <sheetName val="2.10 Overheads"/>
      <sheetName val="2.11 Labour"/>
      <sheetName val="2.14 Forecast price changes"/>
      <sheetName val="2.16 Opex Summary"/>
      <sheetName val="2.17 Step Changes"/>
      <sheetName val="3.1 Revenue"/>
      <sheetName val="3.2 Operating expenditure"/>
      <sheetName val="3.3 Assets (RAB)"/>
      <sheetName val="3.4 Operational data"/>
      <sheetName val="3.5 Physical assets"/>
      <sheetName val="3.6 Quality of service"/>
      <sheetName val="3.7 Operating Environment"/>
      <sheetName val="4.1 Public lighting"/>
      <sheetName val="4.2 Metering"/>
      <sheetName val="4.3 Fee-based services"/>
      <sheetName val="4.4 Quoted services"/>
      <sheetName val="5.4 MD &amp; utilisation-Spatial"/>
      <sheetName val="6.1 Telephone answering"/>
      <sheetName val="6.2 Reliability &amp; Cust serv"/>
      <sheetName val="7.1  Policies and Procedures"/>
      <sheetName val="7.2 Contingent projects"/>
      <sheetName val="7.3 Obligations"/>
      <sheetName val="7.3(b) Obligations cont."/>
      <sheetName val="7.4 Shared Assets"/>
      <sheetName val="7.7 TSS-LRMC"/>
      <sheetName val="8.2 Capex"/>
    </sheetNames>
    <sheetDataSet>
      <sheetData sheetId="0"/>
      <sheetData sheetId="1"/>
      <sheetData sheetId="2"/>
      <sheetData sheetId="3">
        <row r="40">
          <cell r="I40" t="str">
            <v>2022-23</v>
          </cell>
        </row>
        <row r="41">
          <cell r="I41" t="str">
            <v>2023-24</v>
          </cell>
        </row>
        <row r="42">
          <cell r="G42" t="str">
            <v>2019-20</v>
          </cell>
          <cell r="I42" t="str">
            <v>2024-25</v>
          </cell>
        </row>
        <row r="43">
          <cell r="G43" t="str">
            <v>2020-21</v>
          </cell>
          <cell r="I43" t="str">
            <v>2025-26</v>
          </cell>
        </row>
      </sheetData>
      <sheetData sheetId="4">
        <row r="70">
          <cell r="C70">
            <v>5</v>
          </cell>
        </row>
      </sheetData>
      <sheetData sheetId="5"/>
      <sheetData sheetId="6"/>
      <sheetData sheetId="7">
        <row r="42">
          <cell r="AL42" t="str">
            <v>2021-22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Contents"/>
      <sheetName val="Instructions"/>
      <sheetName val="Business &amp; other details"/>
      <sheetName val="2.11 Labour"/>
      <sheetName val="3.6 Quality of services"/>
      <sheetName val="3.6.8 Network-feeders"/>
      <sheetName val="3.6.9 Network-reliability"/>
      <sheetName val="4.1 Public lighting"/>
      <sheetName val="6.2 STPIS Reliability"/>
      <sheetName val="6.6 STPIS Customer Service"/>
      <sheetName val="6.7 STPIS Daily Performance"/>
      <sheetName val="6.8 STPIS Exclusions"/>
      <sheetName val="6.9 STPIS - GSL"/>
      <sheetName val="7.8 Avoided TUOS Payments"/>
      <sheetName val="7.10 Juris Scheme"/>
      <sheetName val="7.11 DMIS-DMIA"/>
      <sheetName val="7.12 Safety and Bushfire"/>
      <sheetName val="7.13 TARC"/>
      <sheetName val="8.1 Income"/>
      <sheetName val="8.2 Capex"/>
      <sheetName val="8.4 Opex"/>
      <sheetName val="9.5 TUoS"/>
      <sheetName val="All_DNSPs_2016-20_-_Annual_Repo"/>
    </sheetNames>
    <sheetDataSet>
      <sheetData sheetId="0">
        <row r="10">
          <cell r="B10" t="str">
            <v>ARR</v>
          </cell>
        </row>
      </sheetData>
      <sheetData sheetId="1"/>
      <sheetData sheetId="2"/>
      <sheetData sheetId="3">
        <row r="14">
          <cell r="D14" t="str">
            <v>Jemena Electricity</v>
          </cell>
        </row>
        <row r="77">
          <cell r="D77" t="str">
            <v>YES</v>
          </cell>
        </row>
      </sheetData>
      <sheetData sheetId="4"/>
      <sheetData sheetId="5"/>
      <sheetData sheetId="6">
        <row r="6">
          <cell r="F6" t="str">
            <v>Yes</v>
          </cell>
        </row>
      </sheetData>
      <sheetData sheetId="7"/>
      <sheetData sheetId="8"/>
      <sheetData sheetId="9"/>
      <sheetData sheetId="10"/>
      <sheetData sheetId="11"/>
      <sheetData sheetId="12">
        <row r="13">
          <cell r="O13" t="str">
            <v>Weather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Formats"/>
      <sheetName val="Menu"/>
      <sheetName val="Reliability 2010"/>
      <sheetName val="Reliability 2011"/>
      <sheetName val="Reliability 2012"/>
      <sheetName val="Reliability 2013"/>
      <sheetName val="Reliability 2014"/>
      <sheetName val="Customer service 2010-2014"/>
      <sheetName val="Calculation"/>
      <sheetName val="Output"/>
    </sheetNames>
    <sheetDataSet>
      <sheetData sheetId="0">
        <row r="43">
          <cell r="D43" t="str">
            <v>Powercor STPIS target calculation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I5">
            <v>83.111002922147989</v>
          </cell>
        </row>
      </sheetData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NRs"/>
      <sheetName val="AER lookups"/>
      <sheetName val="AER ETL"/>
      <sheetName val="Business &amp; other details"/>
      <sheetName val="Intro"/>
      <sheetName val="DMS input"/>
      <sheetName val="AER Amendments"/>
      <sheetName val="PTRM input"/>
      <sheetName val="DMIA"/>
      <sheetName val="WACC"/>
      <sheetName val="Assets"/>
      <sheetName val="Analysis"/>
      <sheetName val="Forecast revenues"/>
      <sheetName val="X factors"/>
      <sheetName val="Revenue summary"/>
      <sheetName val="Equity raising costs"/>
      <sheetName val="Chart 1-Revenue"/>
      <sheetName val="Chart 2-Price path"/>
      <sheetName val="Chart 3-Building bloc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4">
          <cell r="G44">
            <v>249.41367463776598</v>
          </cell>
          <cell r="H44">
            <v>243.30303960914074</v>
          </cell>
          <cell r="I44">
            <v>237.34211513871679</v>
          </cell>
          <cell r="J44">
            <v>231.52723331781823</v>
          </cell>
          <cell r="K44">
            <v>225.8548161015317</v>
          </cell>
        </row>
      </sheetData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topLeftCell="A13" zoomScale="115" zoomScaleNormal="115" workbookViewId="0">
      <selection activeCell="B13" sqref="B13"/>
    </sheetView>
  </sheetViews>
  <sheetFormatPr defaultColWidth="7.75" defaultRowHeight="11.25"/>
  <cols>
    <col min="1" max="1" width="44.75" style="13" bestFit="1" customWidth="1"/>
    <col min="2" max="5" width="17.5" style="13" customWidth="1"/>
    <col min="6" max="7" width="18.875" style="13" customWidth="1"/>
    <col min="8" max="8" width="14" style="13" customWidth="1"/>
    <col min="9" max="13" width="16.25" style="13" customWidth="1"/>
    <col min="14" max="16384" width="7.75" style="13"/>
  </cols>
  <sheetData>
    <row r="1" spans="1:8" ht="12" thickBot="1"/>
    <row r="2" spans="1:8" ht="12" thickBot="1">
      <c r="A2" s="14" t="s">
        <v>9</v>
      </c>
      <c r="B2" s="15" t="s">
        <v>7</v>
      </c>
      <c r="C2" s="16" t="s">
        <v>0</v>
      </c>
      <c r="D2" s="16" t="s">
        <v>6</v>
      </c>
      <c r="E2" s="17" t="s">
        <v>8</v>
      </c>
    </row>
    <row r="3" spans="1:8" ht="12" thickBot="1">
      <c r="A3" s="18" t="s">
        <v>74</v>
      </c>
      <c r="B3" s="19">
        <v>44520</v>
      </c>
      <c r="C3" s="20">
        <v>41210</v>
      </c>
      <c r="D3" s="20">
        <f t="shared" ref="D3:E3" si="0">C3</f>
        <v>41210</v>
      </c>
      <c r="E3" s="21">
        <f t="shared" si="0"/>
        <v>41210</v>
      </c>
    </row>
    <row r="4" spans="1:8" ht="12" thickBot="1">
      <c r="A4" s="22" t="s">
        <v>10</v>
      </c>
      <c r="B4" s="23">
        <f>B3*(1+$B$9)</f>
        <v>45218.048780487807</v>
      </c>
      <c r="C4" s="24">
        <f>C3*(1+$B$9)</f>
        <v>41856.14982578397</v>
      </c>
      <c r="D4" s="24">
        <f t="shared" ref="D4:E4" si="1">D3*(1+$B$9)</f>
        <v>41856.14982578397</v>
      </c>
      <c r="E4" s="25">
        <f t="shared" si="1"/>
        <v>41856.14982578397</v>
      </c>
    </row>
    <row r="5" spans="1:8">
      <c r="A5" s="26"/>
    </row>
    <row r="6" spans="1:8" ht="12" thickBot="1">
      <c r="A6" s="27" t="s">
        <v>11</v>
      </c>
    </row>
    <row r="7" spans="1:8">
      <c r="A7" s="28">
        <v>43636</v>
      </c>
      <c r="B7" s="29">
        <v>114.8</v>
      </c>
      <c r="C7" s="98"/>
    </row>
    <row r="8" spans="1:8">
      <c r="A8" s="30">
        <v>43891</v>
      </c>
      <c r="B8" s="31">
        <v>116.6</v>
      </c>
      <c r="C8" s="99" t="s">
        <v>12</v>
      </c>
      <c r="D8" s="99"/>
      <c r="E8" s="32"/>
      <c r="F8" s="32"/>
    </row>
    <row r="9" spans="1:8">
      <c r="A9" s="33" t="s">
        <v>13</v>
      </c>
      <c r="B9" s="34">
        <f>B8/B7-1</f>
        <v>1.5679442508710784E-2</v>
      </c>
      <c r="C9" s="98"/>
    </row>
    <row r="10" spans="1:8" ht="12" thickBot="1">
      <c r="A10" s="35" t="s">
        <v>14</v>
      </c>
      <c r="B10" s="100"/>
      <c r="C10" s="98"/>
    </row>
    <row r="11" spans="1:8">
      <c r="A11" s="26"/>
      <c r="B11" s="101"/>
      <c r="C11" s="98"/>
    </row>
    <row r="12" spans="1:8">
      <c r="A12" s="14" t="s">
        <v>15</v>
      </c>
      <c r="B12" s="36" t="s">
        <v>16</v>
      </c>
      <c r="C12" s="36" t="s">
        <v>17</v>
      </c>
      <c r="D12" s="36" t="s">
        <v>18</v>
      </c>
      <c r="E12" s="36" t="s">
        <v>19</v>
      </c>
      <c r="F12" s="36" t="s">
        <v>20</v>
      </c>
      <c r="G12" s="36" t="s">
        <v>21</v>
      </c>
    </row>
    <row r="13" spans="1:8">
      <c r="A13" s="37" t="s">
        <v>75</v>
      </c>
      <c r="B13" s="38">
        <f>'[5]Revenue summary'!G$44</f>
        <v>249.41367463776598</v>
      </c>
      <c r="C13" s="38">
        <f>'[5]Revenue summary'!H$44</f>
        <v>243.30303960914074</v>
      </c>
      <c r="D13" s="38">
        <f>'[5]Revenue summary'!I$44</f>
        <v>237.34211513871679</v>
      </c>
      <c r="E13" s="38">
        <f>'[5]Revenue summary'!J$44</f>
        <v>231.52723331781823</v>
      </c>
      <c r="F13" s="38">
        <f>'[5]Revenue summary'!K$44</f>
        <v>225.8548161015317</v>
      </c>
      <c r="G13" s="39">
        <f>AVERAGE(B13:F13)</f>
        <v>237.48817576099469</v>
      </c>
      <c r="H13" s="102"/>
    </row>
    <row r="14" spans="1:8">
      <c r="A14" s="99" t="s">
        <v>22</v>
      </c>
      <c r="B14" s="98"/>
      <c r="C14" s="98"/>
    </row>
    <row r="16" spans="1:8">
      <c r="A16" s="14" t="s">
        <v>23</v>
      </c>
      <c r="B16" s="40" t="s">
        <v>7</v>
      </c>
      <c r="C16" s="40" t="s">
        <v>0</v>
      </c>
      <c r="D16" s="40" t="s">
        <v>6</v>
      </c>
      <c r="E16" s="40" t="s">
        <v>8</v>
      </c>
      <c r="F16" s="40" t="s">
        <v>24</v>
      </c>
      <c r="G16" s="13" t="s">
        <v>25</v>
      </c>
    </row>
    <row r="17" spans="1:9">
      <c r="A17" s="103" t="s">
        <v>26</v>
      </c>
      <c r="B17" s="41"/>
      <c r="C17" s="41">
        <f>C20/F20*F17</f>
        <v>4122.7124225118769</v>
      </c>
      <c r="D17" s="41">
        <f>D20/F20*F17</f>
        <v>474.94419807985219</v>
      </c>
      <c r="E17" s="41"/>
      <c r="F17" s="41">
        <f>J35</f>
        <v>4597.6566205917288</v>
      </c>
      <c r="G17" s="13" t="b">
        <f>F17=C17+D17</f>
        <v>1</v>
      </c>
    </row>
    <row r="18" spans="1:9">
      <c r="B18" s="41"/>
      <c r="C18" s="41"/>
      <c r="D18" s="41"/>
      <c r="E18" s="41"/>
      <c r="F18" s="41"/>
    </row>
    <row r="19" spans="1:9">
      <c r="A19" s="104"/>
      <c r="B19" s="105" t="s">
        <v>7</v>
      </c>
      <c r="C19" s="105" t="s">
        <v>0</v>
      </c>
      <c r="D19" s="105" t="s">
        <v>6</v>
      </c>
      <c r="E19" s="105" t="s">
        <v>8</v>
      </c>
      <c r="F19" s="105" t="s">
        <v>27</v>
      </c>
    </row>
    <row r="20" spans="1:9">
      <c r="A20" s="106" t="s">
        <v>28</v>
      </c>
      <c r="B20" s="107"/>
      <c r="C20" s="169">
        <f>I44</f>
        <v>338225.4</v>
      </c>
      <c r="D20" s="170">
        <f>I45</f>
        <v>38964.199999999997</v>
      </c>
      <c r="E20" s="108"/>
      <c r="F20" s="170">
        <f>SUM(B20:E20)</f>
        <v>377189.60000000003</v>
      </c>
    </row>
    <row r="21" spans="1:9">
      <c r="A21" s="109" t="s">
        <v>29</v>
      </c>
      <c r="B21" s="107"/>
      <c r="C21" s="107"/>
      <c r="D21" s="108"/>
      <c r="E21" s="108"/>
    </row>
    <row r="22" spans="1:9" ht="12" thickBot="1"/>
    <row r="23" spans="1:9" ht="12" thickBot="1">
      <c r="A23" s="110" t="s">
        <v>30</v>
      </c>
      <c r="B23" s="110"/>
      <c r="C23" s="110"/>
      <c r="D23" s="110"/>
      <c r="E23" s="110"/>
      <c r="F23" s="110"/>
      <c r="G23" s="110"/>
      <c r="H23" s="110"/>
      <c r="I23" s="110"/>
    </row>
    <row r="24" spans="1:9">
      <c r="A24" s="111"/>
      <c r="B24" s="112"/>
      <c r="C24" s="208" t="s">
        <v>31</v>
      </c>
      <c r="D24" s="209"/>
      <c r="E24" s="209"/>
      <c r="F24" s="209"/>
      <c r="G24" s="209"/>
      <c r="H24" s="209"/>
      <c r="I24" s="209"/>
    </row>
    <row r="25" spans="1:9">
      <c r="A25" s="111"/>
      <c r="B25" s="112"/>
      <c r="C25" s="210" t="s">
        <v>32</v>
      </c>
      <c r="D25" s="211"/>
      <c r="E25" s="211"/>
      <c r="F25" s="211"/>
      <c r="G25" s="211"/>
      <c r="H25" s="211"/>
      <c r="I25" s="212"/>
    </row>
    <row r="26" spans="1:9" ht="12" thickBot="1">
      <c r="A26" s="113"/>
      <c r="B26" s="114" t="s">
        <v>33</v>
      </c>
      <c r="C26" s="115" t="str">
        <f>CRCP_y4</f>
        <v>2019-20</v>
      </c>
      <c r="D26" s="116" t="str">
        <f>CRCP_y5</f>
        <v>2020-21</v>
      </c>
      <c r="E26" s="117" t="str">
        <f>FRCP_y1</f>
        <v>2021-22</v>
      </c>
      <c r="F26" s="117" t="str">
        <f>FRCP_y2</f>
        <v>2022-23</v>
      </c>
      <c r="G26" s="117" t="str">
        <f>FRCP_y3</f>
        <v>2023-24</v>
      </c>
      <c r="H26" s="117" t="str">
        <f>FRCP_y4</f>
        <v>2024-25</v>
      </c>
      <c r="I26" s="118" t="str">
        <f>FRCP_y5</f>
        <v>2025-26</v>
      </c>
    </row>
    <row r="27" spans="1:9" ht="12" thickBot="1">
      <c r="A27" s="119" t="s">
        <v>34</v>
      </c>
      <c r="B27" s="120" t="s">
        <v>35</v>
      </c>
      <c r="C27" s="121"/>
      <c r="D27" s="122"/>
      <c r="E27" s="122"/>
      <c r="F27" s="122"/>
      <c r="G27" s="122"/>
      <c r="H27" s="122"/>
      <c r="I27" s="123"/>
    </row>
    <row r="28" spans="1:9">
      <c r="A28" s="124" t="s">
        <v>36</v>
      </c>
      <c r="B28" s="125"/>
      <c r="C28" s="126"/>
      <c r="D28" s="126"/>
      <c r="E28" s="126"/>
      <c r="F28" s="126"/>
      <c r="G28" s="126"/>
      <c r="H28" s="126"/>
      <c r="I28" s="127"/>
    </row>
    <row r="29" spans="1:9">
      <c r="A29" s="128" t="s">
        <v>37</v>
      </c>
      <c r="B29" s="129" t="s">
        <v>35</v>
      </c>
      <c r="C29" s="130">
        <v>1412.0976900000001</v>
      </c>
      <c r="D29" s="131">
        <v>1423.0469111919226</v>
      </c>
      <c r="E29" s="131">
        <v>1433.8842465488526</v>
      </c>
      <c r="F29" s="131">
        <v>1440.9451184788052</v>
      </c>
      <c r="G29" s="131">
        <v>1447.4168231947444</v>
      </c>
      <c r="H29" s="131">
        <v>1455.6180310885618</v>
      </c>
      <c r="I29" s="132">
        <v>1466.653078895923</v>
      </c>
    </row>
    <row r="30" spans="1:9">
      <c r="A30" s="133" t="s">
        <v>38</v>
      </c>
      <c r="B30" s="134" t="s">
        <v>35</v>
      </c>
      <c r="C30" s="135">
        <v>1670.4231978988357</v>
      </c>
      <c r="D30" s="136">
        <v>1674.2402315916881</v>
      </c>
      <c r="E30" s="136">
        <v>1716.1598316953359</v>
      </c>
      <c r="F30" s="136">
        <v>1750.5135527074699</v>
      </c>
      <c r="G30" s="136">
        <v>1762.9483434950057</v>
      </c>
      <c r="H30" s="136">
        <v>1774.7421664919523</v>
      </c>
      <c r="I30" s="137">
        <v>1787.3145993552619</v>
      </c>
    </row>
    <row r="31" spans="1:9">
      <c r="A31" s="133" t="s">
        <v>39</v>
      </c>
      <c r="B31" s="134" t="s">
        <v>35</v>
      </c>
      <c r="C31" s="135">
        <v>2.6649211209040953</v>
      </c>
      <c r="D31" s="136">
        <v>2.6752844578304225</v>
      </c>
      <c r="E31" s="136">
        <v>2.6868531897047956</v>
      </c>
      <c r="F31" s="136">
        <v>2.698401349791034</v>
      </c>
      <c r="G31" s="136">
        <v>2.7136198326830017</v>
      </c>
      <c r="H31" s="136">
        <v>2.7332291225298913</v>
      </c>
      <c r="I31" s="137">
        <v>2.7588842201216548</v>
      </c>
    </row>
    <row r="32" spans="1:9">
      <c r="A32" s="133" t="s">
        <v>40</v>
      </c>
      <c r="B32" s="134" t="s">
        <v>35</v>
      </c>
      <c r="C32" s="135">
        <v>1273.463909697859</v>
      </c>
      <c r="D32" s="136">
        <v>1268.3323325322679</v>
      </c>
      <c r="E32" s="136">
        <v>1279.613395669546</v>
      </c>
      <c r="F32" s="136">
        <v>1308.8814343039317</v>
      </c>
      <c r="G32" s="136">
        <v>1317.7516116561771</v>
      </c>
      <c r="H32" s="136">
        <v>1326.2198214962893</v>
      </c>
      <c r="I32" s="137">
        <v>1333.8539639533374</v>
      </c>
    </row>
    <row r="33" spans="1:10">
      <c r="A33" s="133" t="s">
        <v>41</v>
      </c>
      <c r="B33" s="134" t="s">
        <v>35</v>
      </c>
      <c r="C33" s="135">
        <v>33.649145125999823</v>
      </c>
      <c r="D33" s="136">
        <v>33.779999816402565</v>
      </c>
      <c r="E33" s="136">
        <v>33.926074660686304</v>
      </c>
      <c r="F33" s="136">
        <v>34.071889751283926</v>
      </c>
      <c r="G33" s="136">
        <v>34.264048887031869</v>
      </c>
      <c r="H33" s="136">
        <v>34.511649401245933</v>
      </c>
      <c r="I33" s="137">
        <v>34.835588483463148</v>
      </c>
    </row>
    <row r="34" spans="1:10" ht="12" thickBot="1">
      <c r="A34" s="138" t="s">
        <v>42</v>
      </c>
      <c r="B34" s="139" t="s">
        <v>35</v>
      </c>
      <c r="C34" s="140">
        <v>37.685525163439841</v>
      </c>
      <c r="D34" s="141">
        <v>38.905980136117364</v>
      </c>
      <c r="E34" s="141">
        <v>39.995789900154136</v>
      </c>
      <c r="F34" s="141">
        <v>40.344386257965787</v>
      </c>
      <c r="G34" s="141">
        <v>40.246286947605419</v>
      </c>
      <c r="H34" s="141">
        <v>40.092789901432241</v>
      </c>
      <c r="I34" s="142">
        <v>39.8875920217504</v>
      </c>
      <c r="J34" s="13" t="s">
        <v>43</v>
      </c>
    </row>
    <row r="35" spans="1:10">
      <c r="D35" s="13" t="s">
        <v>24</v>
      </c>
      <c r="E35" s="42">
        <f>SUM(E29:E34)</f>
        <v>4506.2661916642792</v>
      </c>
      <c r="F35" s="42">
        <f t="shared" ref="F35:I35" si="2">SUM(F29:F34)</f>
        <v>4577.4547828492477</v>
      </c>
      <c r="G35" s="42">
        <f t="shared" si="2"/>
        <v>4605.340734013248</v>
      </c>
      <c r="H35" s="42">
        <f t="shared" si="2"/>
        <v>4633.9176875020121</v>
      </c>
      <c r="I35" s="42">
        <f t="shared" si="2"/>
        <v>4665.303706929858</v>
      </c>
      <c r="J35" s="42">
        <f>AVERAGE(E35:I35)</f>
        <v>4597.6566205917288</v>
      </c>
    </row>
    <row r="36" spans="1:10">
      <c r="D36" s="168"/>
      <c r="E36" s="167"/>
      <c r="F36" s="167"/>
      <c r="G36" s="167"/>
      <c r="H36" s="167"/>
      <c r="I36" s="167"/>
      <c r="J36" s="167"/>
    </row>
    <row r="39" spans="1:10" ht="12" thickBot="1">
      <c r="A39" s="168" t="s">
        <v>88</v>
      </c>
    </row>
    <row r="40" spans="1:10" ht="12" thickBot="1">
      <c r="A40" s="110" t="s">
        <v>76</v>
      </c>
      <c r="B40" s="162"/>
      <c r="C40" s="162"/>
      <c r="D40" s="162"/>
      <c r="E40" s="162"/>
      <c r="F40" s="162"/>
      <c r="G40" s="162"/>
      <c r="H40" s="162"/>
    </row>
    <row r="41" spans="1:10" ht="12.75">
      <c r="A41" s="159"/>
      <c r="B41" s="213" t="s">
        <v>32</v>
      </c>
      <c r="C41" s="214"/>
      <c r="D41" s="214"/>
      <c r="E41" s="214"/>
      <c r="F41" s="214"/>
      <c r="G41" s="214"/>
      <c r="H41" s="215"/>
    </row>
    <row r="42" spans="1:10" ht="12" thickBot="1">
      <c r="A42" s="160" t="s">
        <v>77</v>
      </c>
      <c r="B42" s="161" t="s">
        <v>78</v>
      </c>
      <c r="C42" s="151" t="s">
        <v>45</v>
      </c>
      <c r="D42" s="151" t="s">
        <v>16</v>
      </c>
      <c r="E42" s="151" t="s">
        <v>17</v>
      </c>
      <c r="F42" s="151" t="s">
        <v>18</v>
      </c>
      <c r="G42" s="151" t="s">
        <v>19</v>
      </c>
      <c r="H42" s="160" t="s">
        <v>20</v>
      </c>
      <c r="I42" s="168" t="s">
        <v>43</v>
      </c>
    </row>
    <row r="43" spans="1:10" hidden="1">
      <c r="A43" s="152" t="s">
        <v>7</v>
      </c>
      <c r="B43" s="154">
        <v>0</v>
      </c>
      <c r="C43" s="155">
        <v>0</v>
      </c>
      <c r="D43" s="154">
        <v>0</v>
      </c>
      <c r="E43" s="26">
        <v>0</v>
      </c>
      <c r="F43" s="26">
        <v>0</v>
      </c>
      <c r="G43" s="26">
        <v>0</v>
      </c>
      <c r="H43" s="155">
        <v>0</v>
      </c>
    </row>
    <row r="44" spans="1:10">
      <c r="A44" s="152" t="s">
        <v>0</v>
      </c>
      <c r="B44" s="154">
        <v>318625</v>
      </c>
      <c r="C44" s="155">
        <v>323709</v>
      </c>
      <c r="D44" s="154">
        <v>328658</v>
      </c>
      <c r="E44" s="26">
        <v>333440</v>
      </c>
      <c r="F44" s="26">
        <v>338193</v>
      </c>
      <c r="G44" s="26">
        <v>343009</v>
      </c>
      <c r="H44" s="155">
        <v>347827</v>
      </c>
      <c r="I44" s="167">
        <f t="shared" ref="I44:I45" si="3">AVERAGE(D44:H44)</f>
        <v>338225.4</v>
      </c>
    </row>
    <row r="45" spans="1:10">
      <c r="A45" s="152" t="s">
        <v>6</v>
      </c>
      <c r="B45" s="154">
        <v>36706</v>
      </c>
      <c r="C45" s="155">
        <v>37292</v>
      </c>
      <c r="D45" s="154">
        <v>37862</v>
      </c>
      <c r="E45" s="26">
        <v>38413</v>
      </c>
      <c r="F45" s="26">
        <v>38961</v>
      </c>
      <c r="G45" s="26">
        <v>39515</v>
      </c>
      <c r="H45" s="155">
        <v>40070</v>
      </c>
      <c r="I45" s="167">
        <f t="shared" si="3"/>
        <v>38964.199999999997</v>
      </c>
    </row>
    <row r="46" spans="1:10" hidden="1">
      <c r="A46" s="152" t="s">
        <v>8</v>
      </c>
      <c r="B46" s="154">
        <v>0</v>
      </c>
      <c r="C46" s="155">
        <v>0</v>
      </c>
      <c r="D46" s="154">
        <v>0</v>
      </c>
      <c r="E46" s="26">
        <v>0</v>
      </c>
      <c r="F46" s="26">
        <v>0</v>
      </c>
      <c r="G46" s="26">
        <v>0</v>
      </c>
      <c r="H46" s="155">
        <v>0</v>
      </c>
    </row>
    <row r="47" spans="1:10" hidden="1">
      <c r="A47" s="153" t="s">
        <v>79</v>
      </c>
      <c r="B47" s="156"/>
      <c r="C47" s="157"/>
      <c r="D47" s="156"/>
      <c r="E47" s="158"/>
      <c r="F47" s="158"/>
      <c r="G47" s="158"/>
      <c r="H47" s="157"/>
    </row>
    <row r="48" spans="1:10">
      <c r="A48" s="163" t="s">
        <v>27</v>
      </c>
      <c r="B48" s="164">
        <v>355331</v>
      </c>
      <c r="C48" s="165">
        <v>361001</v>
      </c>
      <c r="D48" s="165">
        <v>366520</v>
      </c>
      <c r="E48" s="165">
        <v>371853</v>
      </c>
      <c r="F48" s="165">
        <v>377154</v>
      </c>
      <c r="G48" s="165">
        <v>382524</v>
      </c>
      <c r="H48" s="166">
        <v>387897</v>
      </c>
      <c r="I48" s="167">
        <f t="shared" ref="I48" si="4">AVERAGE(D48:H48)</f>
        <v>377189.6</v>
      </c>
    </row>
  </sheetData>
  <mergeCells count="3">
    <mergeCell ref="C24:I24"/>
    <mergeCell ref="C25:I25"/>
    <mergeCell ref="B41:H41"/>
  </mergeCells>
  <conditionalFormatting sqref="G27 G29:G34">
    <cfRule type="expression" dxfId="2" priority="3">
      <formula>(dms_FRCPlength_Num)&lt;3</formula>
    </cfRule>
  </conditionalFormatting>
  <conditionalFormatting sqref="H27 H29:H34">
    <cfRule type="expression" dxfId="1" priority="2">
      <formula>(dms_FRCPlength_Num)&lt;4</formula>
    </cfRule>
  </conditionalFormatting>
  <conditionalFormatting sqref="I27 I29:I34">
    <cfRule type="expression" dxfId="0" priority="1">
      <formula>(dms_FRCPlength_Num)&lt;5</formula>
    </cfRule>
  </conditionalFormatting>
  <dataValidations count="1">
    <dataValidation allowBlank="1" showInputMessage="1" showErrorMessage="1" sqref="C23:I34" xr:uid="{00000000-0002-0000-0000-000000000000}"/>
  </dataValidations>
  <pageMargins left="0.7" right="0.7" top="0.75" bottom="0.75" header="0.3" footer="0.3"/>
  <pageSetup paperSize="9" orientation="portrait" horizontalDpi="300" verticalDpi="300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7"/>
  <sheetViews>
    <sheetView topLeftCell="A16" zoomScale="120" zoomScaleNormal="120" workbookViewId="0">
      <selection activeCell="A41" sqref="A41"/>
    </sheetView>
  </sheetViews>
  <sheetFormatPr defaultRowHeight="12.75"/>
  <cols>
    <col min="1" max="1" width="51.625" customWidth="1"/>
    <col min="2" max="5" width="18.5" customWidth="1"/>
    <col min="6" max="6" width="20" customWidth="1"/>
    <col min="7" max="8" width="18.5" customWidth="1"/>
    <col min="9" max="9" width="10.875" bestFit="1" customWidth="1"/>
    <col min="10" max="10" width="43.125" bestFit="1" customWidth="1"/>
  </cols>
  <sheetData>
    <row r="1" spans="1:15" ht="15" customHeight="1">
      <c r="J1" s="43"/>
      <c r="K1" s="13"/>
      <c r="L1" s="13"/>
      <c r="M1" s="13"/>
      <c r="N1" s="13"/>
      <c r="O1" s="13"/>
    </row>
    <row r="2" spans="1:15" ht="15" customHeight="1">
      <c r="A2" s="44" t="s">
        <v>44</v>
      </c>
      <c r="B2" s="176" t="s">
        <v>16</v>
      </c>
      <c r="C2" s="176" t="s">
        <v>17</v>
      </c>
      <c r="D2" s="176" t="s">
        <v>18</v>
      </c>
      <c r="E2" s="176" t="s">
        <v>19</v>
      </c>
      <c r="F2" s="176" t="s">
        <v>20</v>
      </c>
      <c r="G2" s="186" t="s">
        <v>81</v>
      </c>
    </row>
    <row r="3" spans="1:15" ht="15" customHeight="1">
      <c r="A3" s="45" t="s">
        <v>3</v>
      </c>
      <c r="B3" s="46"/>
      <c r="C3" s="47"/>
      <c r="D3" s="48"/>
      <c r="E3" s="48"/>
      <c r="F3" s="48"/>
    </row>
    <row r="4" spans="1:15" ht="15" customHeight="1">
      <c r="A4" s="49" t="s">
        <v>0</v>
      </c>
      <c r="B4" s="199">
        <f>ROUND(Output!D5,3)</f>
        <v>43.918999999999997</v>
      </c>
      <c r="C4" s="183">
        <f t="shared" ref="C4:F5" si="0">B4</f>
        <v>43.918999999999997</v>
      </c>
      <c r="D4" s="183">
        <f t="shared" si="0"/>
        <v>43.918999999999997</v>
      </c>
      <c r="E4" s="183">
        <f t="shared" si="0"/>
        <v>43.918999999999997</v>
      </c>
      <c r="F4" s="183">
        <f t="shared" si="0"/>
        <v>43.918999999999997</v>
      </c>
      <c r="G4" s="171"/>
    </row>
    <row r="5" spans="1:15" ht="15" customHeight="1">
      <c r="A5" s="49" t="s">
        <v>6</v>
      </c>
      <c r="B5" s="199">
        <f>ROUND(Output!E5,3)</f>
        <v>48.442999999999998</v>
      </c>
      <c r="C5" s="183">
        <f t="shared" si="0"/>
        <v>48.442999999999998</v>
      </c>
      <c r="D5" s="183">
        <f t="shared" si="0"/>
        <v>48.442999999999998</v>
      </c>
      <c r="E5" s="183">
        <f t="shared" si="0"/>
        <v>48.442999999999998</v>
      </c>
      <c r="F5" s="183">
        <f t="shared" si="0"/>
        <v>48.442999999999998</v>
      </c>
    </row>
    <row r="6" spans="1:15" ht="15" customHeight="1">
      <c r="A6" s="49"/>
      <c r="B6" s="184"/>
      <c r="C6" s="184"/>
      <c r="D6" s="184"/>
      <c r="E6" s="184"/>
      <c r="F6" s="184"/>
    </row>
    <row r="7" spans="1:15" ht="15" customHeight="1">
      <c r="A7" s="51" t="s">
        <v>1</v>
      </c>
      <c r="B7" s="97"/>
      <c r="C7" s="97"/>
      <c r="D7" s="185"/>
      <c r="E7" s="185"/>
      <c r="F7" s="185"/>
    </row>
    <row r="8" spans="1:15" ht="15" customHeight="1">
      <c r="A8" s="49" t="s">
        <v>0</v>
      </c>
      <c r="B8" s="199">
        <f>ROUND(Output!D6,3)</f>
        <v>0.72799999999999998</v>
      </c>
      <c r="C8" s="183">
        <f t="shared" ref="C8:F9" si="1">B8</f>
        <v>0.72799999999999998</v>
      </c>
      <c r="D8" s="183">
        <f t="shared" si="1"/>
        <v>0.72799999999999998</v>
      </c>
      <c r="E8" s="183">
        <f t="shared" si="1"/>
        <v>0.72799999999999998</v>
      </c>
      <c r="F8" s="183">
        <f t="shared" si="1"/>
        <v>0.72799999999999998</v>
      </c>
    </row>
    <row r="9" spans="1:15" ht="15" customHeight="1">
      <c r="A9" s="49" t="s">
        <v>6</v>
      </c>
      <c r="B9" s="199">
        <f>ROUND(Output!E6,3)</f>
        <v>0.74299999999999999</v>
      </c>
      <c r="C9" s="183">
        <f t="shared" si="1"/>
        <v>0.74299999999999999</v>
      </c>
      <c r="D9" s="183">
        <f t="shared" si="1"/>
        <v>0.74299999999999999</v>
      </c>
      <c r="E9" s="183">
        <f t="shared" si="1"/>
        <v>0.74299999999999999</v>
      </c>
      <c r="F9" s="183">
        <f t="shared" si="1"/>
        <v>0.74299999999999999</v>
      </c>
    </row>
    <row r="10" spans="1:15" ht="15" customHeight="1">
      <c r="A10" s="49"/>
      <c r="B10" s="184"/>
      <c r="C10" s="184"/>
      <c r="D10" s="184"/>
      <c r="E10" s="184"/>
      <c r="F10" s="184"/>
      <c r="G10" s="52"/>
    </row>
    <row r="11" spans="1:15" ht="15" customHeight="1">
      <c r="A11" s="51" t="s">
        <v>5</v>
      </c>
      <c r="B11" s="97"/>
      <c r="C11" s="97"/>
      <c r="D11" s="185"/>
      <c r="E11" s="185"/>
      <c r="F11" s="185"/>
      <c r="G11" s="52"/>
    </row>
    <row r="12" spans="1:15" ht="15" customHeight="1">
      <c r="A12" s="49" t="s">
        <v>0</v>
      </c>
      <c r="B12" s="199">
        <f>ROUND(Output!D7,3)</f>
        <v>0.95199999999999996</v>
      </c>
      <c r="C12" s="183">
        <f t="shared" ref="C12:C13" si="2">B12</f>
        <v>0.95199999999999996</v>
      </c>
      <c r="D12" s="183">
        <f t="shared" ref="D12:F13" si="3">C12</f>
        <v>0.95199999999999996</v>
      </c>
      <c r="E12" s="183">
        <f t="shared" si="3"/>
        <v>0.95199999999999996</v>
      </c>
      <c r="F12" s="183">
        <f t="shared" si="3"/>
        <v>0.95199999999999996</v>
      </c>
      <c r="G12" s="52"/>
    </row>
    <row r="13" spans="1:15" ht="15" customHeight="1">
      <c r="A13" s="49" t="s">
        <v>6</v>
      </c>
      <c r="B13" s="199">
        <f>ROUND(Output!E7,3)</f>
        <v>1.4159999999999999</v>
      </c>
      <c r="C13" s="183">
        <f t="shared" si="2"/>
        <v>1.4159999999999999</v>
      </c>
      <c r="D13" s="183">
        <f t="shared" si="3"/>
        <v>1.4159999999999999</v>
      </c>
      <c r="E13" s="183">
        <f t="shared" si="3"/>
        <v>1.4159999999999999</v>
      </c>
      <c r="F13" s="183">
        <f t="shared" si="3"/>
        <v>1.4159999999999999</v>
      </c>
      <c r="G13" s="52"/>
    </row>
    <row r="14" spans="1:15" ht="15" customHeight="1">
      <c r="A14" s="49"/>
      <c r="B14" s="50"/>
      <c r="C14" s="50"/>
      <c r="D14" s="50"/>
      <c r="E14" s="50"/>
      <c r="F14" s="50"/>
      <c r="G14" s="52"/>
    </row>
    <row r="15" spans="1:15" ht="15" customHeight="1">
      <c r="A15" s="53" t="s">
        <v>46</v>
      </c>
      <c r="B15" s="193">
        <f>ROUND(Output!F10*100,3)</f>
        <v>73.263000000000005</v>
      </c>
      <c r="C15" s="172">
        <f>B15</f>
        <v>73.263000000000005</v>
      </c>
      <c r="D15" s="172">
        <f t="shared" ref="D15:F15" si="4">C15</f>
        <v>73.263000000000005</v>
      </c>
      <c r="E15" s="172">
        <f t="shared" si="4"/>
        <v>73.263000000000005</v>
      </c>
      <c r="F15" s="172">
        <f t="shared" si="4"/>
        <v>73.263000000000005</v>
      </c>
      <c r="G15" s="171" t="s">
        <v>84</v>
      </c>
      <c r="I15" s="54"/>
      <c r="J15" s="49"/>
      <c r="K15" s="55"/>
      <c r="L15" s="55"/>
      <c r="M15" s="55"/>
      <c r="N15" s="55"/>
      <c r="O15" s="55"/>
    </row>
    <row r="16" spans="1:15" ht="15" customHeight="1">
      <c r="A16" s="49"/>
      <c r="B16" s="56"/>
      <c r="C16" s="57"/>
      <c r="D16" s="56"/>
      <c r="E16" s="58"/>
      <c r="F16" s="58"/>
      <c r="G16" s="171" t="s">
        <v>85</v>
      </c>
      <c r="H16" s="54"/>
      <c r="I16" s="54"/>
      <c r="J16" s="49"/>
      <c r="K16" s="55"/>
      <c r="L16" s="55"/>
      <c r="M16" s="55"/>
      <c r="N16" s="55"/>
      <c r="O16" s="55"/>
    </row>
    <row r="17" spans="1:15" ht="15" customHeight="1">
      <c r="A17" s="49"/>
      <c r="B17" s="57"/>
      <c r="C17" s="57"/>
      <c r="D17" s="59"/>
      <c r="E17" s="56"/>
      <c r="F17" s="56"/>
      <c r="G17" s="58"/>
      <c r="H17" s="58"/>
      <c r="I17" s="54"/>
      <c r="J17" s="49"/>
      <c r="K17" s="55"/>
      <c r="L17" s="55"/>
      <c r="M17" s="55"/>
      <c r="N17" s="55"/>
      <c r="O17" s="55"/>
    </row>
    <row r="18" spans="1:15" ht="15" customHeight="1">
      <c r="A18" s="44" t="s">
        <v>47</v>
      </c>
      <c r="B18" s="40" t="s">
        <v>0</v>
      </c>
      <c r="C18" s="40" t="s">
        <v>6</v>
      </c>
      <c r="D18" s="145"/>
      <c r="J18" s="49"/>
    </row>
    <row r="19" spans="1:15" ht="15" customHeight="1">
      <c r="A19" s="60" t="s">
        <v>48</v>
      </c>
      <c r="B19" s="61"/>
      <c r="C19" s="61"/>
      <c r="D19" s="148"/>
      <c r="E19" s="62"/>
      <c r="F19" s="62"/>
    </row>
    <row r="20" spans="1:15" ht="15" customHeight="1">
      <c r="A20" s="62" t="s">
        <v>49</v>
      </c>
      <c r="B20" s="200">
        <f>((B25*(1+B26)*(1-(1/(1+B27)))*B28)/B29)/(365.25*24*60)</f>
        <v>8.2889374225748728E-4</v>
      </c>
      <c r="C20" s="200">
        <f>((C25*(1+C26)*(1-(1/(1+C27)))*C28)/C29)/(365.25*24*60)</f>
        <v>9.5490112664717598E-5</v>
      </c>
      <c r="D20" s="149"/>
      <c r="E20" s="62"/>
      <c r="F20" s="181"/>
    </row>
    <row r="21" spans="1:15" ht="15" customHeight="1">
      <c r="A21" s="62" t="s">
        <v>50</v>
      </c>
      <c r="B21" s="200">
        <f>(B25*(1+B26)/(1+B27))*B28/B29/(365.25*24*60)*B30/B31</f>
        <v>3.3337165078943749E-2</v>
      </c>
      <c r="C21" s="200">
        <f>(C25*(1+C26)/(1+C27))*C28/C29/(365.25*24*60)*C30/C31</f>
        <v>4.1505854892928797E-3</v>
      </c>
      <c r="D21" s="149"/>
      <c r="E21" s="62"/>
      <c r="F21" s="180"/>
    </row>
    <row r="22" spans="1:15" ht="15" customHeight="1">
      <c r="A22" s="62" t="s">
        <v>51</v>
      </c>
      <c r="B22" s="200">
        <f>B21*0.08</f>
        <v>2.6669732063154998E-3</v>
      </c>
      <c r="C22" s="200">
        <f>C21*0.08</f>
        <v>3.3204683914343037E-4</v>
      </c>
      <c r="D22" s="149"/>
      <c r="E22" s="62"/>
      <c r="F22" s="181"/>
    </row>
    <row r="23" spans="1:15" ht="15" customHeight="1">
      <c r="A23" s="64"/>
      <c r="B23" s="63"/>
      <c r="C23" s="63"/>
      <c r="D23" s="149"/>
      <c r="E23" s="62"/>
      <c r="F23" s="62"/>
    </row>
    <row r="24" spans="1:15" ht="15" customHeight="1">
      <c r="A24" s="60" t="s">
        <v>52</v>
      </c>
      <c r="B24" s="65"/>
      <c r="C24" s="65"/>
      <c r="D24" s="65"/>
      <c r="E24" s="65"/>
      <c r="F24" s="62"/>
    </row>
    <row r="25" spans="1:15" ht="15" customHeight="1">
      <c r="A25" s="62" t="s">
        <v>53</v>
      </c>
      <c r="B25" s="66">
        <f>'AER Input table'!C3</f>
        <v>41210</v>
      </c>
      <c r="C25" s="66">
        <f>'AER Input table'!D3</f>
        <v>41210</v>
      </c>
      <c r="D25" s="66"/>
      <c r="E25" s="66"/>
      <c r="F25" s="62"/>
    </row>
    <row r="26" spans="1:15" ht="15" customHeight="1">
      <c r="A26" s="62" t="s">
        <v>13</v>
      </c>
      <c r="B26" s="144">
        <v>1.5679442508710784E-2</v>
      </c>
      <c r="C26" s="144">
        <v>1.5679442508710784E-2</v>
      </c>
      <c r="D26" s="67"/>
      <c r="E26" s="175" t="s">
        <v>82</v>
      </c>
    </row>
    <row r="27" spans="1:15" ht="15" customHeight="1">
      <c r="A27" s="62" t="s">
        <v>54</v>
      </c>
      <c r="B27" s="68">
        <v>1.5</v>
      </c>
      <c r="C27" s="68">
        <v>1.5</v>
      </c>
      <c r="D27" s="150" t="s">
        <v>55</v>
      </c>
      <c r="I27" s="56"/>
      <c r="J27" s="69"/>
    </row>
    <row r="28" spans="1:15" ht="15" customHeight="1">
      <c r="A28" s="62" t="s">
        <v>56</v>
      </c>
      <c r="B28" s="173">
        <f>'AER Input table'!C17*1000</f>
        <v>4122712.422511877</v>
      </c>
      <c r="C28" s="70">
        <f>'AER Input table'!D17*1000</f>
        <v>474944.19807985221</v>
      </c>
      <c r="D28" s="70"/>
      <c r="E28" s="174" t="s">
        <v>80</v>
      </c>
      <c r="F28" s="71"/>
      <c r="I28" s="56"/>
      <c r="J28" s="69"/>
    </row>
    <row r="29" spans="1:15" ht="15" customHeight="1">
      <c r="A29" s="62" t="s">
        <v>57</v>
      </c>
      <c r="B29" s="72">
        <f>'AER Input table'!G13*1000000</f>
        <v>237488175.7609947</v>
      </c>
      <c r="C29" s="72">
        <f>'AER Input table'!G13*1000000</f>
        <v>237488175.7609947</v>
      </c>
      <c r="D29" s="72"/>
      <c r="E29" s="72"/>
      <c r="F29" s="62"/>
    </row>
    <row r="30" spans="1:15" ht="15" customHeight="1">
      <c r="A30" s="62" t="s">
        <v>3</v>
      </c>
      <c r="B30" s="201">
        <f>F4</f>
        <v>43.918999999999997</v>
      </c>
      <c r="C30" s="201">
        <f>F5</f>
        <v>48.442999999999998</v>
      </c>
      <c r="D30" s="73"/>
      <c r="E30" s="179" t="s">
        <v>86</v>
      </c>
      <c r="F30" s="62"/>
    </row>
    <row r="31" spans="1:15" ht="15" customHeight="1">
      <c r="A31" s="62" t="s">
        <v>1</v>
      </c>
      <c r="B31" s="201">
        <f>F8</f>
        <v>0.72799999999999998</v>
      </c>
      <c r="C31" s="201">
        <f>F9</f>
        <v>0.74299999999999999</v>
      </c>
      <c r="D31" s="73"/>
      <c r="E31" s="177"/>
      <c r="F31" s="62"/>
      <c r="I31" s="143"/>
    </row>
    <row r="32" spans="1:15" ht="15" customHeight="1">
      <c r="A32" s="62" t="s">
        <v>5</v>
      </c>
      <c r="B32" s="201">
        <f>F12</f>
        <v>0.95199999999999996</v>
      </c>
      <c r="C32" s="201">
        <f>F13</f>
        <v>1.4159999999999999</v>
      </c>
      <c r="D32" s="74"/>
      <c r="E32" s="177"/>
      <c r="F32" s="55"/>
      <c r="I32" s="143"/>
    </row>
    <row r="33" spans="1:9" ht="15" customHeight="1">
      <c r="B33" s="55"/>
      <c r="C33" s="55"/>
      <c r="D33" s="55"/>
      <c r="E33" s="55"/>
      <c r="F33" s="55"/>
    </row>
    <row r="34" spans="1:9" ht="15" customHeight="1">
      <c r="A34" s="75" t="s">
        <v>73</v>
      </c>
    </row>
    <row r="35" spans="1:9" ht="15" customHeight="1">
      <c r="A35" s="76"/>
    </row>
    <row r="36" spans="1:9" ht="15" customHeight="1">
      <c r="A36" s="76"/>
      <c r="E36" s="85"/>
      <c r="I36" s="143"/>
    </row>
    <row r="37" spans="1:9" s="77" customFormat="1" ht="15" customHeight="1">
      <c r="A37" s="44" t="s">
        <v>47</v>
      </c>
      <c r="B37" s="40" t="s">
        <v>0</v>
      </c>
      <c r="C37" s="40" t="s">
        <v>6</v>
      </c>
      <c r="E37" s="145"/>
    </row>
    <row r="38" spans="1:9" s="79" customFormat="1" ht="15" customHeight="1">
      <c r="A38" s="62" t="s">
        <v>49</v>
      </c>
      <c r="B38" s="187">
        <f>ROUND(B20*100,4)</f>
        <v>8.2900000000000001E-2</v>
      </c>
      <c r="C38" s="189">
        <f>ROUND(C20*100,4)</f>
        <v>9.4999999999999998E-3</v>
      </c>
      <c r="D38" s="188" t="s">
        <v>89</v>
      </c>
      <c r="E38" s="146"/>
      <c r="F38" s="78"/>
    </row>
    <row r="39" spans="1:9" s="79" customFormat="1" ht="15" customHeight="1">
      <c r="A39" s="62" t="s">
        <v>50</v>
      </c>
      <c r="B39" s="187">
        <f t="shared" ref="B39:C40" si="5">ROUND(B21*100,4)</f>
        <v>3.3336999999999999</v>
      </c>
      <c r="C39" s="189">
        <f t="shared" si="5"/>
        <v>0.41510000000000002</v>
      </c>
      <c r="D39" s="188" t="s">
        <v>90</v>
      </c>
      <c r="E39" s="146"/>
      <c r="F39" s="78"/>
    </row>
    <row r="40" spans="1:9" s="77" customFormat="1" ht="15" customHeight="1">
      <c r="A40" s="62" t="s">
        <v>58</v>
      </c>
      <c r="B40" s="187">
        <f t="shared" si="5"/>
        <v>0.26669999999999999</v>
      </c>
      <c r="C40" s="189">
        <f t="shared" si="5"/>
        <v>3.32E-2</v>
      </c>
      <c r="D40" s="190" t="s">
        <v>91</v>
      </c>
      <c r="E40" s="146"/>
    </row>
    <row r="41" spans="1:9" s="77" customFormat="1" ht="15" customHeight="1">
      <c r="D41" s="182"/>
      <c r="E41" s="83"/>
    </row>
    <row r="42" spans="1:9" s="77" customFormat="1" ht="15" customHeight="1">
      <c r="A42" s="76" t="s">
        <v>59</v>
      </c>
      <c r="D42" s="182"/>
    </row>
    <row r="43" spans="1:9" s="77" customFormat="1" ht="15" customHeight="1">
      <c r="A43" s="44" t="s">
        <v>44</v>
      </c>
      <c r="B43" s="80" t="s">
        <v>60</v>
      </c>
    </row>
    <row r="44" spans="1:9" s="83" customFormat="1" ht="15" customHeight="1">
      <c r="A44" s="81" t="s">
        <v>0</v>
      </c>
      <c r="B44" s="82"/>
    </row>
    <row r="45" spans="1:9" s="83" customFormat="1" ht="15" customHeight="1">
      <c r="A45" s="84" t="s">
        <v>3</v>
      </c>
      <c r="B45" s="202">
        <f>B4</f>
        <v>43.918999999999997</v>
      </c>
      <c r="C45" s="179" t="s">
        <v>87</v>
      </c>
    </row>
    <row r="46" spans="1:9" s="83" customFormat="1" ht="15" customHeight="1">
      <c r="A46" s="84" t="s">
        <v>1</v>
      </c>
      <c r="B46" s="202">
        <f>B8</f>
        <v>0.72799999999999998</v>
      </c>
      <c r="C46" s="178"/>
    </row>
    <row r="47" spans="1:9" s="83" customFormat="1" ht="15" customHeight="1">
      <c r="A47" s="84" t="s">
        <v>5</v>
      </c>
      <c r="B47" s="202">
        <f>B12</f>
        <v>0.95199999999999996</v>
      </c>
      <c r="C47" s="178"/>
    </row>
    <row r="48" spans="1:9" s="83" customFormat="1" ht="15" customHeight="1">
      <c r="A48" s="81" t="s">
        <v>6</v>
      </c>
      <c r="B48" s="203"/>
      <c r="C48" s="178"/>
    </row>
    <row r="49" spans="1:6" s="83" customFormat="1" ht="15" customHeight="1">
      <c r="A49" s="84" t="s">
        <v>3</v>
      </c>
      <c r="B49" s="202">
        <f>B5</f>
        <v>48.442999999999998</v>
      </c>
      <c r="C49" s="178"/>
    </row>
    <row r="50" spans="1:6" s="83" customFormat="1" ht="15" customHeight="1">
      <c r="A50" s="84" t="s">
        <v>1</v>
      </c>
      <c r="B50" s="202">
        <f>B9</f>
        <v>0.74299999999999999</v>
      </c>
      <c r="C50" s="178"/>
    </row>
    <row r="51" spans="1:6" s="83" customFormat="1" ht="15" customHeight="1">
      <c r="A51" s="84" t="s">
        <v>5</v>
      </c>
      <c r="B51" s="202">
        <f>B13</f>
        <v>1.4159999999999999</v>
      </c>
      <c r="C51" s="178"/>
    </row>
    <row r="52" spans="1:6" s="85" customFormat="1" ht="15" customHeight="1">
      <c r="A52" s="81" t="s">
        <v>61</v>
      </c>
      <c r="B52" s="204"/>
    </row>
    <row r="53" spans="1:6" s="85" customFormat="1" ht="15" customHeight="1">
      <c r="A53" s="86" t="s">
        <v>62</v>
      </c>
      <c r="B53" s="205">
        <f>B15</f>
        <v>73.263000000000005</v>
      </c>
      <c r="C53" s="171" t="s">
        <v>83</v>
      </c>
    </row>
    <row r="54" spans="1:6" ht="15" customHeight="1">
      <c r="A54" s="87"/>
      <c r="B54" s="87"/>
    </row>
    <row r="55" spans="1:6">
      <c r="A55" s="76" t="s">
        <v>63</v>
      </c>
    </row>
    <row r="56" spans="1:6">
      <c r="A56" s="44" t="s">
        <v>53</v>
      </c>
      <c r="B56" s="40" t="s">
        <v>0</v>
      </c>
      <c r="C56" s="40" t="s">
        <v>6</v>
      </c>
      <c r="E56" s="147"/>
    </row>
    <row r="57" spans="1:6">
      <c r="A57" s="86"/>
      <c r="B57" s="88">
        <f>'AER Input table'!C3</f>
        <v>41210</v>
      </c>
      <c r="C57" s="88">
        <f>'AER Input table'!D3</f>
        <v>41210</v>
      </c>
      <c r="E57" s="89"/>
      <c r="F57" s="89"/>
    </row>
  </sheetData>
  <pageMargins left="0.7" right="0.7" top="0.75" bottom="0.75" header="0.3" footer="0.3"/>
  <pageSetup paperSize="9" orientation="portrait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30"/>
  <sheetViews>
    <sheetView showGridLines="0" workbookViewId="0">
      <selection activeCell="H33" sqref="H33"/>
    </sheetView>
  </sheetViews>
  <sheetFormatPr defaultColWidth="9" defaultRowHeight="12.75"/>
  <cols>
    <col min="1" max="16384" width="9" style="8"/>
  </cols>
  <sheetData>
    <row r="1" spans="1:28" s="2" customFormat="1" ht="18.75">
      <c r="A1" s="1" t="s">
        <v>65</v>
      </c>
      <c r="B1" s="6"/>
      <c r="C1" s="6"/>
      <c r="D1" s="6"/>
      <c r="E1" s="6"/>
      <c r="F1" s="6"/>
      <c r="G1" s="6"/>
      <c r="H1" s="6"/>
      <c r="I1" s="6"/>
      <c r="J1" s="7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8">
      <c r="A2" s="2"/>
      <c r="B2" s="2"/>
      <c r="C2" s="2"/>
      <c r="D2" s="2"/>
      <c r="E2" s="2"/>
      <c r="F2" s="2"/>
      <c r="G2" s="2"/>
    </row>
    <row r="3" spans="1:28">
      <c r="A3" s="2"/>
      <c r="B3" s="2"/>
      <c r="C3" s="2"/>
      <c r="D3" s="2"/>
      <c r="E3" s="2"/>
      <c r="F3" s="2"/>
      <c r="G3" s="2"/>
    </row>
    <row r="4" spans="1:28">
      <c r="A4" s="2"/>
      <c r="B4" s="5"/>
      <c r="C4" s="11" t="s">
        <v>7</v>
      </c>
      <c r="D4" s="10" t="s">
        <v>0</v>
      </c>
      <c r="E4" s="10" t="s">
        <v>6</v>
      </c>
      <c r="F4" s="11" t="s">
        <v>8</v>
      </c>
      <c r="G4" s="2"/>
      <c r="H4" s="2"/>
    </row>
    <row r="5" spans="1:28">
      <c r="A5" s="2"/>
      <c r="B5" s="2" t="s">
        <v>3</v>
      </c>
      <c r="C5" s="12"/>
      <c r="D5" s="206">
        <f>H16</f>
        <v>43.918512046378559</v>
      </c>
      <c r="E5" s="206">
        <f>ROUND(H20,3)</f>
        <v>48.442999999999998</v>
      </c>
      <c r="F5" s="12"/>
      <c r="G5" s="197"/>
      <c r="H5" s="2"/>
      <c r="I5" s="2"/>
    </row>
    <row r="6" spans="1:28">
      <c r="A6" s="2"/>
      <c r="B6" s="2" t="s">
        <v>1</v>
      </c>
      <c r="C6" s="12"/>
      <c r="D6" s="206">
        <f t="shared" ref="D6:D7" si="0">H17</f>
        <v>0.72811182552828391</v>
      </c>
      <c r="E6" s="206">
        <f t="shared" ref="E6:E7" si="1">ROUND(H21,3)</f>
        <v>0.74299999999999999</v>
      </c>
      <c r="F6" s="12"/>
      <c r="G6" s="198"/>
      <c r="H6" s="2"/>
      <c r="I6" s="2"/>
    </row>
    <row r="7" spans="1:28">
      <c r="A7" s="2"/>
      <c r="B7" s="2" t="s">
        <v>64</v>
      </c>
      <c r="C7" s="12"/>
      <c r="D7" s="206">
        <f t="shared" si="0"/>
        <v>0.9520600261004869</v>
      </c>
      <c r="E7" s="206">
        <f t="shared" si="1"/>
        <v>1.4159999999999999</v>
      </c>
      <c r="F7" s="12"/>
      <c r="G7" s="198"/>
      <c r="H7" s="2"/>
      <c r="I7" s="2"/>
    </row>
    <row r="8" spans="1:28">
      <c r="A8" s="2"/>
      <c r="B8" s="2"/>
      <c r="C8" s="9"/>
      <c r="D8" s="9"/>
      <c r="E8" s="2"/>
      <c r="F8" s="2"/>
      <c r="G8" s="198"/>
    </row>
    <row r="9" spans="1:28">
      <c r="A9" s="2"/>
      <c r="B9" s="3"/>
      <c r="C9" s="3"/>
      <c r="D9" s="3"/>
      <c r="E9" s="3"/>
      <c r="F9" s="5" t="s">
        <v>2</v>
      </c>
      <c r="G9" s="198"/>
    </row>
    <row r="10" spans="1:28">
      <c r="A10" s="2"/>
      <c r="B10" s="2" t="s">
        <v>4</v>
      </c>
      <c r="C10" s="2"/>
      <c r="D10" s="2"/>
      <c r="E10" s="2"/>
      <c r="F10" s="207">
        <f>H23</f>
        <v>0.73263446520108133</v>
      </c>
      <c r="G10" s="197"/>
      <c r="H10" s="2"/>
    </row>
    <row r="11" spans="1:28">
      <c r="A11" s="2"/>
      <c r="B11" s="2"/>
      <c r="C11" s="2"/>
      <c r="D11" s="2"/>
      <c r="E11" s="2"/>
      <c r="F11" s="4"/>
      <c r="H11" s="2"/>
    </row>
    <row r="12" spans="1:28">
      <c r="A12" s="2"/>
      <c r="B12" s="2"/>
      <c r="C12" s="2"/>
      <c r="D12" s="2"/>
      <c r="E12" s="2"/>
      <c r="F12" s="2"/>
      <c r="G12" s="2"/>
    </row>
    <row r="13" spans="1:28">
      <c r="A13" s="2"/>
      <c r="B13" s="2"/>
      <c r="C13" s="2"/>
      <c r="D13" s="2"/>
      <c r="E13" s="2"/>
      <c r="F13" s="2"/>
      <c r="G13" s="2"/>
    </row>
    <row r="14" spans="1:28">
      <c r="A14" s="2"/>
      <c r="B14" s="90" t="s">
        <v>66</v>
      </c>
      <c r="C14" s="90" t="s">
        <v>67</v>
      </c>
      <c r="D14" s="90" t="s">
        <v>68</v>
      </c>
      <c r="E14" s="90" t="s">
        <v>69</v>
      </c>
      <c r="F14" s="90" t="s">
        <v>70</v>
      </c>
      <c r="G14" s="191" t="s">
        <v>92</v>
      </c>
      <c r="H14" s="90" t="s">
        <v>71</v>
      </c>
      <c r="I14" s="195" t="s">
        <v>93</v>
      </c>
      <c r="J14"/>
      <c r="K14"/>
      <c r="L14"/>
      <c r="M14"/>
      <c r="N14"/>
      <c r="O14"/>
    </row>
    <row r="15" spans="1:28">
      <c r="A15" s="2"/>
      <c r="B15" s="91" t="s">
        <v>0</v>
      </c>
      <c r="C15" s="13"/>
      <c r="D15" s="13"/>
      <c r="E15" s="13"/>
      <c r="F15" s="13"/>
      <c r="G15" s="192"/>
      <c r="H15" s="192"/>
      <c r="I15" s="195" t="s">
        <v>94</v>
      </c>
      <c r="J15"/>
      <c r="K15"/>
      <c r="L15"/>
      <c r="M15"/>
      <c r="N15"/>
      <c r="O15"/>
    </row>
    <row r="16" spans="1:28">
      <c r="A16" s="2"/>
      <c r="B16" s="92" t="s">
        <v>3</v>
      </c>
      <c r="C16" s="93">
        <v>38.786999999999999</v>
      </c>
      <c r="D16" s="93">
        <v>38.735999999999997</v>
      </c>
      <c r="E16" s="93">
        <v>50.582000000000001</v>
      </c>
      <c r="F16" s="93">
        <v>37.325000000000003</v>
      </c>
      <c r="G16" s="193">
        <v>54.16256023189279</v>
      </c>
      <c r="H16" s="193">
        <f>AVERAGE(C16:G16)</f>
        <v>43.918512046378559</v>
      </c>
      <c r="I16" s="196"/>
      <c r="J16"/>
      <c r="K16"/>
      <c r="L16"/>
      <c r="M16"/>
      <c r="N16"/>
      <c r="O16"/>
    </row>
    <row r="17" spans="1:15">
      <c r="A17" s="2"/>
      <c r="B17" s="94" t="s">
        <v>1</v>
      </c>
      <c r="C17" s="93">
        <v>0.68</v>
      </c>
      <c r="D17" s="93">
        <v>0.65100000000000002</v>
      </c>
      <c r="E17" s="93">
        <v>0.86899999999999999</v>
      </c>
      <c r="F17" s="93">
        <v>0.56399999999999995</v>
      </c>
      <c r="G17" s="193">
        <v>0.87655912764141941</v>
      </c>
      <c r="H17" s="193">
        <f t="shared" ref="H17:H18" si="2">AVERAGE(C17:G17)</f>
        <v>0.72811182552828391</v>
      </c>
      <c r="I17" s="196"/>
      <c r="J17"/>
      <c r="K17"/>
      <c r="L17"/>
      <c r="M17"/>
      <c r="N17"/>
      <c r="O17"/>
    </row>
    <row r="18" spans="1:15">
      <c r="A18" s="2"/>
      <c r="B18" s="92" t="s">
        <v>5</v>
      </c>
      <c r="C18" s="93">
        <v>0.97499999999999998</v>
      </c>
      <c r="D18" s="93">
        <v>0.67500000000000004</v>
      </c>
      <c r="E18" s="93">
        <v>1.0629999999999999</v>
      </c>
      <c r="F18" s="93">
        <v>1.1259999999999999</v>
      </c>
      <c r="G18" s="193">
        <v>0.92130013050243442</v>
      </c>
      <c r="H18" s="193">
        <f t="shared" si="2"/>
        <v>0.9520600261004869</v>
      </c>
      <c r="I18" s="196"/>
      <c r="J18"/>
      <c r="K18"/>
      <c r="L18"/>
      <c r="M18"/>
      <c r="N18"/>
      <c r="O18"/>
    </row>
    <row r="19" spans="1:15">
      <c r="A19" s="2"/>
      <c r="B19" s="91" t="s">
        <v>6</v>
      </c>
      <c r="C19" s="93"/>
      <c r="D19" s="93"/>
      <c r="E19" s="93"/>
      <c r="F19" s="93"/>
      <c r="G19" s="193"/>
      <c r="H19" s="193"/>
      <c r="I19" s="196"/>
      <c r="J19"/>
      <c r="K19"/>
      <c r="L19"/>
      <c r="M19"/>
      <c r="N19"/>
      <c r="O19"/>
    </row>
    <row r="20" spans="1:15">
      <c r="A20" s="2"/>
      <c r="B20" s="92" t="s">
        <v>3</v>
      </c>
      <c r="C20" s="93">
        <v>48.029000000000003</v>
      </c>
      <c r="D20" s="93">
        <v>57.241</v>
      </c>
      <c r="E20" s="93">
        <v>72.956000000000003</v>
      </c>
      <c r="F20" s="93">
        <v>11.397</v>
      </c>
      <c r="G20" s="193">
        <v>52.593919211609268</v>
      </c>
      <c r="H20" s="193">
        <f t="shared" ref="H20:H22" si="3">AVERAGE(C20:G20)</f>
        <v>48.44338384232185</v>
      </c>
      <c r="I20" s="196"/>
      <c r="J20"/>
      <c r="K20"/>
      <c r="L20"/>
      <c r="M20"/>
      <c r="N20"/>
      <c r="O20"/>
    </row>
    <row r="21" spans="1:15">
      <c r="A21" s="2"/>
      <c r="B21" s="94" t="s">
        <v>1</v>
      </c>
      <c r="C21" s="93">
        <v>0.70399999999999996</v>
      </c>
      <c r="D21" s="93">
        <v>0.96199999999999997</v>
      </c>
      <c r="E21" s="93">
        <v>1.2929999999999999</v>
      </c>
      <c r="F21" s="93">
        <v>7.2999999999999995E-2</v>
      </c>
      <c r="G21" s="193">
        <v>0.68402100931340692</v>
      </c>
      <c r="H21" s="193">
        <f t="shared" si="3"/>
        <v>0.74320420186268132</v>
      </c>
      <c r="I21" s="196"/>
      <c r="J21"/>
      <c r="K21"/>
      <c r="L21"/>
      <c r="M21"/>
      <c r="N21"/>
      <c r="O21"/>
    </row>
    <row r="22" spans="1:15">
      <c r="A22" s="2"/>
      <c r="B22" s="92" t="s">
        <v>5</v>
      </c>
      <c r="C22" s="93">
        <v>1.8160000000000001</v>
      </c>
      <c r="D22" s="93">
        <v>0.872</v>
      </c>
      <c r="E22" s="93">
        <v>1.8979999999999999</v>
      </c>
      <c r="F22" s="93">
        <v>1.3660000000000001</v>
      </c>
      <c r="G22" s="193">
        <v>1.1262995451591944</v>
      </c>
      <c r="H22" s="193">
        <f t="shared" si="3"/>
        <v>1.4156599090318389</v>
      </c>
      <c r="I22" s="196"/>
      <c r="J22"/>
      <c r="K22"/>
      <c r="L22"/>
      <c r="M22"/>
      <c r="N22"/>
      <c r="O22"/>
    </row>
    <row r="23" spans="1:15" ht="23.25" thickBot="1">
      <c r="A23" s="2"/>
      <c r="B23" s="95" t="s">
        <v>61</v>
      </c>
      <c r="C23" s="96">
        <v>0.67332999999999998</v>
      </c>
      <c r="D23" s="96">
        <v>0.68272999999999995</v>
      </c>
      <c r="E23" s="96">
        <v>0.76031000000000004</v>
      </c>
      <c r="F23" s="96">
        <v>0.79927000000000004</v>
      </c>
      <c r="G23" s="194">
        <v>0.74753232600540687</v>
      </c>
      <c r="H23" s="194">
        <f>AVERAGE(C23:G23)</f>
        <v>0.73263446520108133</v>
      </c>
      <c r="I23" s="196"/>
      <c r="J23"/>
      <c r="K23"/>
      <c r="L23"/>
      <c r="M23"/>
      <c r="N23"/>
      <c r="O23"/>
    </row>
    <row r="24" spans="1:15">
      <c r="A24" s="2"/>
      <c r="B24" s="13" t="s">
        <v>72</v>
      </c>
      <c r="C24"/>
      <c r="D24"/>
      <c r="E24"/>
      <c r="F24"/>
      <c r="G24"/>
      <c r="H24"/>
      <c r="I24"/>
      <c r="J24"/>
      <c r="K24"/>
      <c r="L24"/>
      <c r="M24"/>
      <c r="N24"/>
    </row>
    <row r="25" spans="1:15">
      <c r="A25" s="2"/>
      <c r="B25" s="2"/>
      <c r="C25" s="2"/>
      <c r="D25" s="2"/>
      <c r="E25" s="2"/>
      <c r="F25" s="2"/>
      <c r="G25" s="2"/>
    </row>
    <row r="26" spans="1:15">
      <c r="A26" s="2"/>
      <c r="B26" s="2"/>
      <c r="C26" s="2"/>
      <c r="D26" s="2"/>
      <c r="E26" s="2"/>
      <c r="F26" s="2"/>
      <c r="G26" s="2"/>
    </row>
    <row r="27" spans="1:15">
      <c r="A27" s="2"/>
      <c r="B27" s="2"/>
      <c r="C27" s="2"/>
      <c r="D27" s="2"/>
      <c r="E27" s="2"/>
      <c r="F27" s="2"/>
    </row>
    <row r="28" spans="1:15">
      <c r="A28" s="2"/>
      <c r="B28" s="2"/>
      <c r="C28" s="2"/>
      <c r="D28" s="2"/>
      <c r="E28" s="2"/>
      <c r="F28" s="2"/>
    </row>
    <row r="29" spans="1:15">
      <c r="A29" s="2"/>
      <c r="B29" s="2"/>
      <c r="C29" s="2"/>
      <c r="D29" s="2"/>
      <c r="E29" s="2"/>
      <c r="F29" s="2"/>
    </row>
    <row r="30" spans="1:15">
      <c r="A30" s="2"/>
      <c r="B30" s="2"/>
      <c r="C30" s="2"/>
      <c r="D30" s="2"/>
      <c r="E30" s="2"/>
      <c r="F30" s="2"/>
    </row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D5EC81D58EA94CB7FF64D7478F7C9C" ma:contentTypeVersion="13" ma:contentTypeDescription="Create a new document." ma:contentTypeScope="" ma:versionID="c5e6474f2762d4dbf0c5e83afd88e3c5">
  <xsd:schema xmlns:xsd="http://www.w3.org/2001/XMLSchema" xmlns:xs="http://www.w3.org/2001/XMLSchema" xmlns:p="http://schemas.microsoft.com/office/2006/metadata/properties" xmlns:ns3="ad7fc41a-cc78-417a-9923-532a75238972" xmlns:ns4="16fe3cd8-5fd9-45cd-956e-41c35978653e" targetNamespace="http://schemas.microsoft.com/office/2006/metadata/properties" ma:root="true" ma:fieldsID="16ed7bcf673ac975e9f6f78deb20e033" ns3:_="" ns4:_="">
    <xsd:import namespace="ad7fc41a-cc78-417a-9923-532a75238972"/>
    <xsd:import namespace="16fe3cd8-5fd9-45cd-956e-41c35978653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7fc41a-cc78-417a-9923-532a752389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e3cd8-5fd9-45cd-956e-41c3597865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279A4C0-A1D5-4014-9136-5B086F2879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7fc41a-cc78-417a-9923-532a75238972"/>
    <ds:schemaRef ds:uri="16fe3cd8-5fd9-45cd-956e-41c3597865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B6ECD5-F4B4-4C7A-80D5-8CE5F1150C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D82B02-EB8D-46E3-BE27-70A4FDEC5B14}">
  <ds:schemaRefs>
    <ds:schemaRef ds:uri="http://schemas.openxmlformats.org/package/2006/metadata/core-properties"/>
    <ds:schemaRef ds:uri="http://purl.org/dc/elements/1.1/"/>
    <ds:schemaRef ds:uri="16fe3cd8-5fd9-45cd-956e-41c35978653e"/>
    <ds:schemaRef ds:uri="http://purl.org/dc/terms/"/>
    <ds:schemaRef ds:uri="http://schemas.microsoft.com/office/2006/documentManagement/types"/>
    <ds:schemaRef ds:uri="http://schemas.microsoft.com/office/infopath/2007/PartnerControls"/>
    <ds:schemaRef ds:uri="ad7fc41a-cc78-417a-9923-532a75238972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AER Input table</vt:lpstr>
      <vt:lpstr>AER Output table</vt:lpstr>
      <vt:lpstr>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2020-01-09T00:15:55Z</dcterms:created>
  <dcterms:modified xsi:type="dcterms:W3CDTF">2020-11-18T01:38:32Z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0x010100E1D5EC81D58EA94CB7FF64D7478F7C9C</vt:lpwstr>
  </property>
</Properties>
</file>