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ch\Work Folders\Desktop\"/>
    </mc:Choice>
  </mc:AlternateContent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W66" i="1" l="1"/>
  <c r="AP92" i="1" l="1"/>
  <c r="AJ106" i="1" l="1"/>
  <c r="AK106" i="1" s="1"/>
  <c r="AJ70" i="1"/>
  <c r="AK70" i="1" s="1"/>
  <c r="N74" i="1"/>
  <c r="AR106" i="1" l="1"/>
  <c r="AS106" i="1" s="1"/>
  <c r="AR70" i="1"/>
  <c r="AS70" i="1" s="1"/>
  <c r="AJ104" i="1"/>
  <c r="AK104" i="1" s="1"/>
  <c r="AR104" i="1" l="1"/>
  <c r="AS104" i="1" s="1"/>
  <c r="W102" i="1"/>
  <c r="V102" i="1"/>
  <c r="T102" i="1"/>
  <c r="AJ102" i="1" s="1"/>
  <c r="AK102" i="1" s="1"/>
  <c r="W98" i="1"/>
  <c r="V98" i="1"/>
  <c r="O98" i="1"/>
  <c r="N98" i="1"/>
  <c r="AJ98" i="1" s="1"/>
  <c r="AK98" i="1" s="1"/>
  <c r="AR102" i="1" l="1"/>
  <c r="AS102" i="1" s="1"/>
  <c r="AR98" i="1"/>
  <c r="AS98" i="1" s="1"/>
  <c r="AJ96" i="1"/>
  <c r="AK96" i="1" s="1"/>
  <c r="AJ94" i="1"/>
  <c r="AK94" i="1" s="1"/>
  <c r="AP54" i="1"/>
  <c r="AJ54" i="1"/>
  <c r="AK54" i="1" s="1"/>
  <c r="E92" i="1"/>
  <c r="AJ90" i="1"/>
  <c r="AK90" i="1" s="1"/>
  <c r="AJ92" i="1" l="1"/>
  <c r="AK92" i="1" s="1"/>
  <c r="AR92" i="1" s="1"/>
  <c r="AS92" i="1" s="1"/>
  <c r="AR54" i="1"/>
  <c r="AS54" i="1" s="1"/>
  <c r="AR94" i="1"/>
  <c r="AS94" i="1" s="1"/>
  <c r="AR90" i="1"/>
  <c r="AS90" i="1" s="1"/>
  <c r="AR96" i="1"/>
  <c r="AS96" i="1" s="1"/>
  <c r="W88" i="1"/>
  <c r="V88" i="1"/>
  <c r="T88" i="1"/>
  <c r="W84" i="1"/>
  <c r="V84" i="1"/>
  <c r="U84" i="1"/>
  <c r="T84" i="1"/>
  <c r="S84" i="1"/>
  <c r="R84" i="1"/>
  <c r="Q84" i="1"/>
  <c r="P84" i="1"/>
  <c r="O84" i="1"/>
  <c r="AJ82" i="1"/>
  <c r="AK82" i="1" s="1"/>
  <c r="AJ80" i="1"/>
  <c r="AK80" i="1" s="1"/>
  <c r="AJ84" i="1" l="1"/>
  <c r="AK84" i="1" s="1"/>
  <c r="AR84" i="1" s="1"/>
  <c r="AS84" i="1" s="1"/>
  <c r="AJ88" i="1"/>
  <c r="AK88" i="1" s="1"/>
  <c r="AR88" i="1" s="1"/>
  <c r="AS88" i="1" s="1"/>
  <c r="AR80" i="1"/>
  <c r="AS80" i="1" s="1"/>
  <c r="AR82" i="1"/>
  <c r="AS82" i="1" s="1"/>
  <c r="AJ78" i="1"/>
  <c r="AK78" i="1" s="1"/>
  <c r="AJ76" i="1"/>
  <c r="AK76" i="1" s="1"/>
  <c r="O74" i="1"/>
  <c r="AJ74" i="1" s="1"/>
  <c r="AK74" i="1" s="1"/>
  <c r="S72" i="1"/>
  <c r="R72" i="1"/>
  <c r="AJ72" i="1" l="1"/>
  <c r="AK72" i="1" s="1"/>
  <c r="AR72" i="1"/>
  <c r="AS72" i="1" s="1"/>
  <c r="AR78" i="1"/>
  <c r="AS78" i="1" s="1"/>
  <c r="AR74" i="1"/>
  <c r="AS74" i="1" s="1"/>
  <c r="AR76" i="1"/>
  <c r="AS76" i="1" s="1"/>
  <c r="AJ68" i="1"/>
  <c r="AK68" i="1" s="1"/>
  <c r="V66" i="1"/>
  <c r="U66" i="1"/>
  <c r="T66" i="1"/>
  <c r="S66" i="1"/>
  <c r="R66" i="1"/>
  <c r="AJ64" i="1"/>
  <c r="AK64" i="1" s="1"/>
  <c r="AJ62" i="1"/>
  <c r="AK62" i="1" s="1"/>
  <c r="AJ60" i="1"/>
  <c r="AK60" i="1" s="1"/>
  <c r="AP58" i="1"/>
  <c r="AJ58" i="1"/>
  <c r="AK58" i="1" s="1"/>
  <c r="AJ56" i="1"/>
  <c r="AK56" i="1" s="1"/>
  <c r="AR56" i="1" s="1"/>
  <c r="AJ52" i="1"/>
  <c r="AK52" i="1" s="1"/>
  <c r="AR52" i="1" s="1"/>
  <c r="AS52" i="1" s="1"/>
  <c r="AJ50" i="1"/>
  <c r="AK50" i="1" s="1"/>
  <c r="AJ48" i="1"/>
  <c r="AK48" i="1" s="1"/>
  <c r="AJ46" i="1"/>
  <c r="AK46" i="1" s="1"/>
  <c r="AJ66" i="1" l="1"/>
  <c r="AK66" i="1" s="1"/>
  <c r="AK111" i="1" s="1"/>
  <c r="AR62" i="1"/>
  <c r="AS62" i="1" s="1"/>
  <c r="AR60" i="1"/>
  <c r="AS60" i="1" s="1"/>
  <c r="AR64" i="1"/>
  <c r="AS64" i="1" s="1"/>
  <c r="AS56" i="1"/>
  <c r="AR58" i="1"/>
  <c r="AS58" i="1" s="1"/>
  <c r="AR68" i="1"/>
  <c r="AR50" i="1"/>
  <c r="AR48" i="1"/>
  <c r="AS48" i="1" s="1"/>
  <c r="AR46" i="1"/>
  <c r="AS46" i="1" s="1"/>
  <c r="S10" i="1"/>
  <c r="I10" i="1"/>
  <c r="H10" i="1"/>
  <c r="G10" i="1"/>
  <c r="AR66" i="1" l="1"/>
  <c r="AS66" i="1" s="1"/>
  <c r="AS68" i="1"/>
  <c r="AR111" i="1"/>
  <c r="AS111" i="1" s="1"/>
  <c r="AS50" i="1"/>
  <c r="AW7" i="1"/>
  <c r="AW9" i="1"/>
  <c r="AW10" i="1"/>
  <c r="AW11" i="1"/>
  <c r="AW12" i="1"/>
  <c r="AW13" i="1"/>
  <c r="AW15" i="1"/>
  <c r="AW16" i="1"/>
  <c r="AW17" i="1"/>
  <c r="AW18" i="1"/>
  <c r="AW19" i="1"/>
  <c r="AW20" i="1"/>
  <c r="AW21" i="1"/>
  <c r="AW22" i="1"/>
  <c r="AW23" i="1"/>
  <c r="AW25" i="1"/>
  <c r="AW27" i="1"/>
  <c r="AW28" i="1"/>
  <c r="AW29" i="1"/>
  <c r="AW30" i="1"/>
  <c r="AW31" i="1"/>
  <c r="AW32" i="1"/>
  <c r="AW33" i="1"/>
  <c r="AW34" i="1"/>
  <c r="AW35" i="1"/>
  <c r="AW37" i="1"/>
  <c r="AW39" i="1"/>
  <c r="AW40" i="1"/>
  <c r="AW41" i="1"/>
  <c r="AW42" i="1"/>
  <c r="AW43" i="1"/>
  <c r="AW44" i="1"/>
  <c r="E34" i="1" l="1"/>
  <c r="W38" i="1"/>
  <c r="V38" i="1"/>
  <c r="U38" i="1"/>
  <c r="T38" i="1"/>
  <c r="S38" i="1"/>
  <c r="R38" i="1"/>
  <c r="Q38" i="1"/>
  <c r="P38" i="1"/>
  <c r="O38" i="1"/>
  <c r="N38" i="1"/>
  <c r="G8" i="1"/>
  <c r="T8" i="1" l="1"/>
  <c r="AJ44" i="1"/>
  <c r="Y44" i="1"/>
  <c r="W42" i="1"/>
  <c r="V42" i="1"/>
  <c r="U42" i="1"/>
  <c r="T42" i="1"/>
  <c r="AO40" i="1"/>
  <c r="AP40" i="1" s="1"/>
  <c r="V40" i="1"/>
  <c r="AJ40" i="1" s="1"/>
  <c r="AK40" i="1" s="1"/>
  <c r="Y40" i="1"/>
  <c r="AO38" i="1"/>
  <c r="AP38" i="1" s="1"/>
  <c r="W36" i="1"/>
  <c r="AJ34" i="1"/>
  <c r="AK34" i="1" s="1"/>
  <c r="AR34" i="1" s="1"/>
  <c r="AS34" i="1" s="1"/>
  <c r="Y34" i="1"/>
  <c r="AJ32" i="1"/>
  <c r="AK32" i="1" s="1"/>
  <c r="Y32" i="1"/>
  <c r="AJ42" i="1" l="1"/>
  <c r="AK42" i="1" s="1"/>
  <c r="AR42" i="1"/>
  <c r="AS42" i="1" s="1"/>
  <c r="AR40" i="1"/>
  <c r="AS40" i="1" s="1"/>
  <c r="AR32" i="1"/>
  <c r="AS32" i="1" s="1"/>
  <c r="AK44" i="1"/>
  <c r="W30" i="1"/>
  <c r="V30" i="1"/>
  <c r="U30" i="1"/>
  <c r="T30" i="1"/>
  <c r="AJ28" i="1"/>
  <c r="Y28" i="1"/>
  <c r="AJ22" i="1"/>
  <c r="AK22" i="1" s="1"/>
  <c r="Y22" i="1"/>
  <c r="AO24" i="1"/>
  <c r="AP24" i="1" s="1"/>
  <c r="W24" i="1"/>
  <c r="V24" i="1"/>
  <c r="U24" i="1"/>
  <c r="T24" i="1"/>
  <c r="AJ20" i="1"/>
  <c r="AK20" i="1" s="1"/>
  <c r="Y20" i="1"/>
  <c r="AJ18" i="1"/>
  <c r="AK18" i="1" s="1"/>
  <c r="Y18" i="1"/>
  <c r="AN26" i="1"/>
  <c r="AO26" i="1"/>
  <c r="W26" i="1"/>
  <c r="V26" i="1"/>
  <c r="U26" i="1"/>
  <c r="T26" i="1"/>
  <c r="AJ16" i="1"/>
  <c r="AK16" i="1" s="1"/>
  <c r="Y16" i="1"/>
  <c r="AP26" i="1" l="1"/>
  <c r="AJ30" i="1"/>
  <c r="AK30" i="1" s="1"/>
  <c r="AR30" i="1" s="1"/>
  <c r="AS30" i="1" s="1"/>
  <c r="AR20" i="1"/>
  <c r="AS20" i="1" s="1"/>
  <c r="AR16" i="1"/>
  <c r="AS16" i="1" s="1"/>
  <c r="AR18" i="1"/>
  <c r="AS18" i="1" s="1"/>
  <c r="AR44" i="1"/>
  <c r="AS44" i="1" s="1"/>
  <c r="Y12" i="1"/>
  <c r="Y10" i="1"/>
  <c r="AJ12" i="1"/>
  <c r="AK12" i="1" s="1"/>
  <c r="AJ10" i="1"/>
  <c r="AK10" i="1" s="1"/>
  <c r="AO8" i="1"/>
  <c r="AP8" i="1" s="1"/>
  <c r="W8" i="1"/>
  <c r="V8" i="1"/>
  <c r="U8" i="1"/>
  <c r="W6" i="1"/>
  <c r="V6" i="1"/>
  <c r="U6" i="1"/>
  <c r="T6" i="1"/>
  <c r="AR10" i="1" l="1"/>
  <c r="AS10" i="1" s="1"/>
  <c r="AR12" i="1"/>
  <c r="AS12" i="1" s="1"/>
  <c r="Y9" i="1" l="1"/>
  <c r="Y11" i="1"/>
  <c r="Y13" i="1"/>
  <c r="Y15" i="1"/>
  <c r="Y17" i="1"/>
  <c r="Y19" i="1"/>
  <c r="Y21" i="1"/>
  <c r="Y25" i="1"/>
  <c r="Y27" i="1"/>
  <c r="Y29" i="1"/>
  <c r="Y30" i="1"/>
  <c r="Y31" i="1"/>
  <c r="Y33" i="1"/>
  <c r="Y35" i="1"/>
  <c r="Y42" i="1"/>
  <c r="Z44" i="1" l="1"/>
  <c r="AG44" i="1" l="1"/>
  <c r="D38" i="1"/>
  <c r="E38" i="1" s="1"/>
  <c r="Z42" i="1"/>
  <c r="Z40" i="1"/>
  <c r="AD38" i="1"/>
  <c r="AE38" i="1" s="1"/>
  <c r="M38" i="1"/>
  <c r="Z38" i="1" s="1"/>
  <c r="P36" i="1"/>
  <c r="Q36" i="1"/>
  <c r="R36" i="1"/>
  <c r="S36" i="1"/>
  <c r="Z36" i="1" l="1"/>
  <c r="AG36" i="1" s="1"/>
  <c r="AH36" i="1" s="1"/>
  <c r="AG40" i="1"/>
  <c r="AH40" i="1" s="1"/>
  <c r="AW38" i="1"/>
  <c r="AJ38" i="1"/>
  <c r="AK38" i="1" s="1"/>
  <c r="AR38" i="1" s="1"/>
  <c r="AS38" i="1" s="1"/>
  <c r="Y38" i="1"/>
  <c r="AW36" i="1"/>
  <c r="AJ36" i="1"/>
  <c r="AK36" i="1" s="1"/>
  <c r="AR36" i="1" s="1"/>
  <c r="AS36" i="1" s="1"/>
  <c r="Y36" i="1"/>
  <c r="AG42" i="1"/>
  <c r="AH42" i="1" s="1"/>
  <c r="AH44" i="1"/>
  <c r="AG38" i="1"/>
  <c r="AH38" i="1" s="1"/>
  <c r="Z34" i="1"/>
  <c r="AG34" i="1" s="1"/>
  <c r="Z32" i="1"/>
  <c r="Z30" i="1"/>
  <c r="AG30" i="1" s="1"/>
  <c r="Z28" i="1"/>
  <c r="O24" i="1"/>
  <c r="Q24" i="1"/>
  <c r="AD24" i="1"/>
  <c r="AE24" i="1" s="1"/>
  <c r="S24" i="1"/>
  <c r="R24" i="1"/>
  <c r="P24" i="1"/>
  <c r="Z24" i="1" l="1"/>
  <c r="AU40" i="1"/>
  <c r="AW24" i="1"/>
  <c r="AJ24" i="1"/>
  <c r="AK24" i="1" s="1"/>
  <c r="Y24" i="1"/>
  <c r="AU42" i="1"/>
  <c r="AG28" i="1"/>
  <c r="AU28" i="1" s="1"/>
  <c r="AG32" i="1"/>
  <c r="AH32" i="1" s="1"/>
  <c r="AH34" i="1"/>
  <c r="AU34" i="1"/>
  <c r="AU30" i="1"/>
  <c r="AH30" i="1"/>
  <c r="AU38" i="1"/>
  <c r="AU36" i="1"/>
  <c r="AG24" i="1"/>
  <c r="AH24" i="1" s="1"/>
  <c r="Z22" i="1"/>
  <c r="E22" i="1"/>
  <c r="AR22" i="1" s="1"/>
  <c r="AS22" i="1" s="1"/>
  <c r="Z20" i="1"/>
  <c r="Z18" i="1"/>
  <c r="AG18" i="1" s="1"/>
  <c r="AH18" i="1" s="1"/>
  <c r="Z16" i="1"/>
  <c r="M14" i="1"/>
  <c r="L14" i="1"/>
  <c r="K14" i="1"/>
  <c r="I14" i="1"/>
  <c r="H14" i="1"/>
  <c r="AR24" i="1" l="1"/>
  <c r="AU24" i="1" s="1"/>
  <c r="AG22" i="1"/>
  <c r="AH22" i="1" s="1"/>
  <c r="AG20" i="1"/>
  <c r="AH20" i="1" s="1"/>
  <c r="Z14" i="1"/>
  <c r="AG14" i="1" s="1"/>
  <c r="AH14" i="1" s="1"/>
  <c r="Y14" i="1"/>
  <c r="AJ14" i="1"/>
  <c r="AK14" i="1" s="1"/>
  <c r="AW14" i="1"/>
  <c r="AH28" i="1"/>
  <c r="AU18" i="1"/>
  <c r="AG16" i="1"/>
  <c r="AH16" i="1" s="1"/>
  <c r="AD26" i="1"/>
  <c r="AE26" i="1" s="1"/>
  <c r="AC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Z12" i="1"/>
  <c r="Z10" i="1"/>
  <c r="AS24" i="1" l="1"/>
  <c r="Z26" i="1"/>
  <c r="AG26" i="1" s="1"/>
  <c r="AJ26" i="1"/>
  <c r="AK26" i="1" s="1"/>
  <c r="Y26" i="1"/>
  <c r="AR14" i="1"/>
  <c r="AS14" i="1" s="1"/>
  <c r="AW26" i="1"/>
  <c r="AU16" i="1"/>
  <c r="AU20" i="1"/>
  <c r="AG10" i="1"/>
  <c r="AH10" i="1" s="1"/>
  <c r="AG12" i="1"/>
  <c r="AU12" i="1" s="1"/>
  <c r="AH26" i="1"/>
  <c r="AD8" i="1"/>
  <c r="AE8" i="1" s="1"/>
  <c r="S8" i="1"/>
  <c r="R8" i="1"/>
  <c r="Q8" i="1"/>
  <c r="P8" i="1"/>
  <c r="O8" i="1"/>
  <c r="N8" i="1"/>
  <c r="M8" i="1"/>
  <c r="L8" i="1"/>
  <c r="K8" i="1"/>
  <c r="J8" i="1"/>
  <c r="I8" i="1"/>
  <c r="H8" i="1"/>
  <c r="S6" i="1"/>
  <c r="R6" i="1"/>
  <c r="Q6" i="1"/>
  <c r="P6" i="1"/>
  <c r="O6" i="1"/>
  <c r="N6" i="1"/>
  <c r="M6" i="1"/>
  <c r="L6" i="1"/>
  <c r="K6" i="1"/>
  <c r="J6" i="1"/>
  <c r="I6" i="1"/>
  <c r="AU14" i="1" l="1"/>
  <c r="AW8" i="1"/>
  <c r="AW6" i="1"/>
  <c r="AU10" i="1"/>
  <c r="AJ8" i="1"/>
  <c r="AK8" i="1" s="1"/>
  <c r="Y8" i="1"/>
  <c r="AR26" i="1"/>
  <c r="AS26" i="1" s="1"/>
  <c r="AJ6" i="1"/>
  <c r="AK6" i="1" s="1"/>
  <c r="Y6" i="1"/>
  <c r="AH12" i="1"/>
  <c r="Z8" i="1"/>
  <c r="Z6" i="1"/>
  <c r="AU26" i="1" l="1"/>
  <c r="AK113" i="1"/>
  <c r="AK109" i="1"/>
  <c r="AR6" i="1"/>
  <c r="AR8" i="1"/>
  <c r="AS8" i="1" s="1"/>
  <c r="AG8" i="1"/>
  <c r="AG6" i="1"/>
  <c r="AU6" i="1" l="1"/>
  <c r="AS6" i="1"/>
  <c r="AR113" i="1"/>
  <c r="AS113" i="1" s="1"/>
  <c r="AR109" i="1"/>
  <c r="AS109" i="1" s="1"/>
  <c r="AH8" i="1"/>
  <c r="AU8" i="1"/>
  <c r="AH6" i="1"/>
</calcChain>
</file>

<file path=xl/sharedStrings.xml><?xml version="1.0" encoding="utf-8"?>
<sst xmlns="http://schemas.openxmlformats.org/spreadsheetml/2006/main" count="108" uniqueCount="70">
  <si>
    <t>Imputation Credit Distribution Rate</t>
  </si>
  <si>
    <t>Coy</t>
  </si>
  <si>
    <t>FB</t>
  </si>
  <si>
    <t>Date</t>
  </si>
  <si>
    <t>X</t>
  </si>
  <si>
    <t>A$</t>
  </si>
  <si>
    <t>US$</t>
  </si>
  <si>
    <t>CBA (Par)</t>
  </si>
  <si>
    <t>FF Divs A$</t>
  </si>
  <si>
    <t>A$m</t>
  </si>
  <si>
    <t>TAX</t>
  </si>
  <si>
    <t>Sum*3/7</t>
  </si>
  <si>
    <t>West(Par)</t>
  </si>
  <si>
    <t>DIST</t>
  </si>
  <si>
    <t>Dist Rate</t>
  </si>
  <si>
    <t>ANZ (Par)</t>
  </si>
  <si>
    <t>WW (Group)</t>
  </si>
  <si>
    <t>CSL (Con)</t>
  </si>
  <si>
    <t>BHP (Group)</t>
  </si>
  <si>
    <t>Telstra (Group)</t>
  </si>
  <si>
    <t>Wesfarmers (Group)</t>
  </si>
  <si>
    <t>Woodside (Group)</t>
  </si>
  <si>
    <t>Rio (Group)</t>
  </si>
  <si>
    <t>Macq (Group)</t>
  </si>
  <si>
    <t>Origin (Gr)</t>
  </si>
  <si>
    <t>Suncorp (Gr)</t>
  </si>
  <si>
    <t>QBE (Gr)</t>
  </si>
  <si>
    <t>Brambles (Gr)</t>
  </si>
  <si>
    <t>Santos (Gr)</t>
  </si>
  <si>
    <t>AMP (Gr)</t>
  </si>
  <si>
    <t>Amcor (Gr)</t>
  </si>
  <si>
    <t>Sum</t>
  </si>
  <si>
    <t>SUM*3/7</t>
  </si>
  <si>
    <t>Westfield (Par)</t>
  </si>
  <si>
    <t>NAB (group)</t>
  </si>
  <si>
    <t>2013-2017</t>
  </si>
  <si>
    <t>2004-2011</t>
  </si>
  <si>
    <t>2000-2017</t>
  </si>
  <si>
    <t>2000-2013</t>
  </si>
  <si>
    <t>Transurb</t>
  </si>
  <si>
    <t>Scentre</t>
  </si>
  <si>
    <t>Aristocrat</t>
  </si>
  <si>
    <t>Ins Aus</t>
  </si>
  <si>
    <t>South32</t>
  </si>
  <si>
    <t>Goodman</t>
  </si>
  <si>
    <t>Newcrest</t>
  </si>
  <si>
    <t>Syd Airp</t>
  </si>
  <si>
    <t>Cimic</t>
  </si>
  <si>
    <t>AGL</t>
  </si>
  <si>
    <t>Fortescue</t>
  </si>
  <si>
    <t>Treasury</t>
  </si>
  <si>
    <t>ASX</t>
  </si>
  <si>
    <t>Cochlear</t>
  </si>
  <si>
    <t>Llease</t>
  </si>
  <si>
    <t>APA Gr</t>
  </si>
  <si>
    <t>REA</t>
  </si>
  <si>
    <t>Qantas</t>
  </si>
  <si>
    <t>Ramsay</t>
  </si>
  <si>
    <t>Sonic</t>
  </si>
  <si>
    <t>Vicinity</t>
  </si>
  <si>
    <t>Dexus</t>
  </si>
  <si>
    <t>Stockland</t>
  </si>
  <si>
    <t>Computer</t>
  </si>
  <si>
    <t>Bluescope</t>
  </si>
  <si>
    <t>Tabcorp</t>
  </si>
  <si>
    <t>Crown</t>
  </si>
  <si>
    <t>Aurizon</t>
  </si>
  <si>
    <t>GPT</t>
  </si>
  <si>
    <t>Caltex</t>
  </si>
  <si>
    <t>Medibank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</si>
</sst>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3"/>
  <sheetViews>
    <sheetView tabSelected="1" workbookViewId="0">
      <selection activeCell="AS36" sqref="AS36"/>
    </sheetView>
  </sheetViews>
  <sheetFormatPr defaultRowHeight="15" x14ac:dyDescent="0.25"/>
  <sheetData>
    <row r="1" spans="1:49" x14ac:dyDescent="0.25">
      <c r="A1" t="s">
        <v>0</v>
      </c>
    </row>
    <row r="2" spans="1:49" x14ac:dyDescent="0.25">
      <c r="Z2" t="s">
        <v>13</v>
      </c>
      <c r="AK2" t="s">
        <v>13</v>
      </c>
    </row>
    <row r="3" spans="1:49" x14ac:dyDescent="0.25">
      <c r="A3" t="s">
        <v>1</v>
      </c>
      <c r="B3" t="s">
        <v>2</v>
      </c>
      <c r="G3" t="s">
        <v>8</v>
      </c>
      <c r="Z3" t="s">
        <v>38</v>
      </c>
      <c r="AB3" t="s">
        <v>2</v>
      </c>
      <c r="AG3" t="s">
        <v>10</v>
      </c>
      <c r="AH3" t="s">
        <v>14</v>
      </c>
      <c r="AK3" t="s">
        <v>37</v>
      </c>
      <c r="AM3" t="s">
        <v>2</v>
      </c>
      <c r="AR3" t="s">
        <v>10</v>
      </c>
      <c r="AS3" t="s">
        <v>14</v>
      </c>
      <c r="AU3" t="s">
        <v>14</v>
      </c>
      <c r="AW3" t="s">
        <v>36</v>
      </c>
    </row>
    <row r="4" spans="1:49" x14ac:dyDescent="0.25">
      <c r="B4" t="s">
        <v>3</v>
      </c>
      <c r="C4" t="s">
        <v>6</v>
      </c>
      <c r="D4" t="s">
        <v>4</v>
      </c>
      <c r="E4" t="s">
        <v>9</v>
      </c>
      <c r="G4">
        <v>2001</v>
      </c>
      <c r="H4">
        <v>2002</v>
      </c>
      <c r="I4">
        <v>2003</v>
      </c>
      <c r="J4">
        <v>2004</v>
      </c>
      <c r="K4">
        <v>2005</v>
      </c>
      <c r="L4">
        <v>2006</v>
      </c>
      <c r="M4">
        <v>2007</v>
      </c>
      <c r="N4">
        <v>2008</v>
      </c>
      <c r="O4">
        <v>2009</v>
      </c>
      <c r="P4">
        <v>2010</v>
      </c>
      <c r="Q4">
        <v>2011</v>
      </c>
      <c r="R4">
        <v>2012</v>
      </c>
      <c r="S4">
        <v>2013</v>
      </c>
      <c r="T4">
        <v>2014</v>
      </c>
      <c r="U4">
        <v>2015</v>
      </c>
      <c r="V4">
        <v>2016</v>
      </c>
      <c r="W4">
        <v>2017</v>
      </c>
      <c r="Y4" t="s">
        <v>31</v>
      </c>
      <c r="Z4" t="s">
        <v>11</v>
      </c>
      <c r="AB4" t="s">
        <v>3</v>
      </c>
      <c r="AC4" t="s">
        <v>6</v>
      </c>
      <c r="AD4" t="s">
        <v>4</v>
      </c>
      <c r="AE4" t="s">
        <v>5</v>
      </c>
      <c r="AG4" t="s">
        <v>38</v>
      </c>
      <c r="AJ4" t="s">
        <v>31</v>
      </c>
      <c r="AK4" t="s">
        <v>32</v>
      </c>
      <c r="AM4" t="s">
        <v>3</v>
      </c>
      <c r="AN4" t="s">
        <v>6</v>
      </c>
      <c r="AO4" t="s">
        <v>4</v>
      </c>
      <c r="AP4" t="s">
        <v>5</v>
      </c>
      <c r="AR4" t="s">
        <v>37</v>
      </c>
      <c r="AS4" t="s">
        <v>37</v>
      </c>
      <c r="AU4" t="s">
        <v>35</v>
      </c>
      <c r="AW4" t="s">
        <v>13</v>
      </c>
    </row>
    <row r="6" spans="1:49" x14ac:dyDescent="0.25">
      <c r="A6" t="s">
        <v>7</v>
      </c>
      <c r="B6">
        <v>2000</v>
      </c>
      <c r="E6">
        <v>450</v>
      </c>
      <c r="G6">
        <v>1681</v>
      </c>
      <c r="H6">
        <v>1785</v>
      </c>
      <c r="I6">
        <f>865+1027</f>
        <v>1892</v>
      </c>
      <c r="J6">
        <f>996+1066</f>
        <v>2062</v>
      </c>
      <c r="K6">
        <f>1083+1315</f>
        <v>2398</v>
      </c>
      <c r="L6">
        <f>1211+1434</f>
        <v>2645</v>
      </c>
      <c r="M6">
        <f>1380+1668</f>
        <v>3048</v>
      </c>
      <c r="N6">
        <f>1487+1939</f>
        <v>3426</v>
      </c>
      <c r="O6">
        <f>1662+2029</f>
        <v>3691</v>
      </c>
      <c r="P6">
        <f>1841+1747</f>
        <v>3588</v>
      </c>
      <c r="Q6">
        <f>2045+2633</f>
        <v>4678</v>
      </c>
      <c r="R6">
        <f>2166+2930</f>
        <v>5096</v>
      </c>
      <c r="S6">
        <f>2639+3137</f>
        <v>5776</v>
      </c>
      <c r="T6">
        <f>2950+3224</f>
        <v>6174</v>
      </c>
      <c r="U6">
        <f>3210+3534</f>
        <v>6744</v>
      </c>
      <c r="V6">
        <f>3381+3613</f>
        <v>6994</v>
      </c>
      <c r="W6">
        <f>3429+3808</f>
        <v>7237</v>
      </c>
      <c r="Y6">
        <f>SUM(G6:S6)</f>
        <v>41766</v>
      </c>
      <c r="Z6">
        <f>SUM(G6:S6)*(3/7)</f>
        <v>17899.714285714286</v>
      </c>
      <c r="AB6">
        <v>2013</v>
      </c>
      <c r="AE6">
        <v>742</v>
      </c>
      <c r="AG6">
        <f>Z6+AE6-E6</f>
        <v>18191.714285714286</v>
      </c>
      <c r="AH6">
        <f>Z6/AG6</f>
        <v>0.98394873647343373</v>
      </c>
      <c r="AJ6">
        <f>SUM(G6:W6)</f>
        <v>68915</v>
      </c>
      <c r="AK6">
        <f>AJ6*(3/7)</f>
        <v>29535</v>
      </c>
      <c r="AM6">
        <v>2017</v>
      </c>
      <c r="AP6">
        <v>1067</v>
      </c>
      <c r="AR6">
        <f>AK6+AP6-E6</f>
        <v>30152</v>
      </c>
      <c r="AS6">
        <f>AK6/AR6</f>
        <v>0.97953701247015124</v>
      </c>
      <c r="AU6">
        <f>(AK6-Z6)/(AR6-AG6)</f>
        <v>0.97282673610281645</v>
      </c>
      <c r="AW6">
        <f>SUM(J6:Q6)*(3/7)</f>
        <v>10944</v>
      </c>
    </row>
    <row r="7" spans="1:49" x14ac:dyDescent="0.25">
      <c r="AW7">
        <f t="shared" ref="AW7:AW44" si="0">SUM(J7:Q7)*(3/7)</f>
        <v>0</v>
      </c>
    </row>
    <row r="8" spans="1:49" x14ac:dyDescent="0.25">
      <c r="A8" t="s">
        <v>18</v>
      </c>
      <c r="B8">
        <v>2000</v>
      </c>
      <c r="E8">
        <v>24</v>
      </c>
      <c r="G8">
        <f>(524/0.53)*(26/51)</f>
        <v>504.03255641879389</v>
      </c>
      <c r="H8">
        <f>831/0.52</f>
        <v>1598.0769230769231</v>
      </c>
      <c r="I8">
        <f>868/0.58</f>
        <v>1496.5517241379312</v>
      </c>
      <c r="J8">
        <f>1576/0.71</f>
        <v>2219.7183098591549</v>
      </c>
      <c r="K8">
        <f>1642/0.75</f>
        <v>2189.3333333333335</v>
      </c>
      <c r="L8">
        <f>2126/0.75</f>
        <v>2834.6666666666665</v>
      </c>
      <c r="M8">
        <f>2339/0.79</f>
        <v>2960.7594936708861</v>
      </c>
      <c r="N8">
        <f>3250/0.9</f>
        <v>3611.1111111111109</v>
      </c>
      <c r="O8">
        <f>4969/0.75</f>
        <v>6625.333333333333</v>
      </c>
      <c r="P8">
        <f>4895/0.88</f>
        <v>5562.5</v>
      </c>
      <c r="Q8">
        <f>5144/0.99</f>
        <v>5195.9595959595963</v>
      </c>
      <c r="R8">
        <f>5933/1.03</f>
        <v>5760.194174757281</v>
      </c>
      <c r="S8">
        <f>6222/1.03</f>
        <v>6040.7766990291257</v>
      </c>
      <c r="T8">
        <f>6506/0.92</f>
        <v>7071.7391304347821</v>
      </c>
      <c r="U8">
        <f>7052/0.84</f>
        <v>8395.2380952380954</v>
      </c>
      <c r="V8">
        <f>4217/0.73</f>
        <v>5776.7123287671238</v>
      </c>
      <c r="W8">
        <f>3502/0.75</f>
        <v>4669.333333333333</v>
      </c>
      <c r="Y8">
        <f t="shared" ref="Y8:Y42" si="1">SUM(G8:S8)</f>
        <v>46599.013921354133</v>
      </c>
      <c r="Z8">
        <f t="shared" ref="Z8:Z44" si="2">SUM(G8:S8)*(3/7)</f>
        <v>19971.005966294626</v>
      </c>
      <c r="AB8">
        <v>2013</v>
      </c>
      <c r="AC8">
        <v>10516</v>
      </c>
      <c r="AD8">
        <f>1/0.92</f>
        <v>1.0869565217391304</v>
      </c>
      <c r="AE8">
        <f>AC8*AD8</f>
        <v>11430.434782608694</v>
      </c>
      <c r="AG8">
        <f>Z8+AE8-E8</f>
        <v>31377.440748903318</v>
      </c>
      <c r="AH8">
        <f>Z8/AG8</f>
        <v>0.63647657328434726</v>
      </c>
      <c r="AJ8">
        <f t="shared" ref="AJ8:AJ66" si="3">SUM(G8:W8)</f>
        <v>72512.036809127472</v>
      </c>
      <c r="AK8">
        <f t="shared" ref="AK8:AK66" si="4">AJ8*(3/7)</f>
        <v>31076.587203911771</v>
      </c>
      <c r="AM8">
        <v>2017</v>
      </c>
      <c r="AN8">
        <v>10155</v>
      </c>
      <c r="AO8">
        <f>1/0.77</f>
        <v>1.2987012987012987</v>
      </c>
      <c r="AP8">
        <f>AN8*AO8</f>
        <v>13188.311688311689</v>
      </c>
      <c r="AR8">
        <f t="shared" ref="AR8:AR66" si="5">AK8+AP8-E8</f>
        <v>44240.898892223457</v>
      </c>
      <c r="AS8">
        <f t="shared" ref="AS8:AS66" si="6">AK8/AR8</f>
        <v>0.70244023024076319</v>
      </c>
      <c r="AU8">
        <f t="shared" ref="AU8:AU42" si="7">(AK8-Z8)/(AR8-AG8)</f>
        <v>0.8633433648932235</v>
      </c>
      <c r="AW8">
        <f t="shared" si="0"/>
        <v>13371.163647400321</v>
      </c>
    </row>
    <row r="9" spans="1:49" x14ac:dyDescent="0.25">
      <c r="Y9">
        <f t="shared" si="1"/>
        <v>0</v>
      </c>
      <c r="AW9">
        <f t="shared" si="0"/>
        <v>0</v>
      </c>
    </row>
    <row r="10" spans="1:49" x14ac:dyDescent="0.25">
      <c r="A10" t="s">
        <v>12</v>
      </c>
      <c r="B10">
        <v>2000</v>
      </c>
      <c r="E10">
        <v>-56</v>
      </c>
      <c r="G10">
        <f>497+520</f>
        <v>1017</v>
      </c>
      <c r="H10">
        <f>597+560</f>
        <v>1157</v>
      </c>
      <c r="I10">
        <f>631+673</f>
        <v>1304</v>
      </c>
      <c r="J10">
        <v>1474</v>
      </c>
      <c r="K10">
        <v>1667</v>
      </c>
      <c r="L10">
        <v>1981</v>
      </c>
      <c r="M10">
        <v>2270</v>
      </c>
      <c r="N10">
        <v>2583</v>
      </c>
      <c r="O10">
        <v>2994</v>
      </c>
      <c r="P10">
        <v>3700</v>
      </c>
      <c r="Q10">
        <v>4500</v>
      </c>
      <c r="R10">
        <v>4931</v>
      </c>
      <c r="S10">
        <f>5258+310</f>
        <v>5568</v>
      </c>
      <c r="T10">
        <v>5844</v>
      </c>
      <c r="U10">
        <v>5752</v>
      </c>
      <c r="V10">
        <v>6129</v>
      </c>
      <c r="W10">
        <v>6301</v>
      </c>
      <c r="Y10">
        <f>SUM(G10:S10)</f>
        <v>35146</v>
      </c>
      <c r="Z10">
        <f t="shared" si="2"/>
        <v>15062.571428571428</v>
      </c>
      <c r="AB10">
        <v>2013</v>
      </c>
      <c r="AE10">
        <v>1247</v>
      </c>
      <c r="AG10">
        <f>Z10+AE10-E10</f>
        <v>16365.571428571428</v>
      </c>
      <c r="AH10">
        <f>Z10/AG10</f>
        <v>0.92038163740954437</v>
      </c>
      <c r="AJ10">
        <f t="shared" si="3"/>
        <v>59172</v>
      </c>
      <c r="AK10">
        <f t="shared" si="4"/>
        <v>25359.428571428569</v>
      </c>
      <c r="AM10">
        <v>2017</v>
      </c>
      <c r="AP10">
        <v>1063</v>
      </c>
      <c r="AR10">
        <f t="shared" si="5"/>
        <v>26478.428571428569</v>
      </c>
      <c r="AS10">
        <f t="shared" si="6"/>
        <v>0.95773918391790624</v>
      </c>
      <c r="AU10">
        <f t="shared" si="7"/>
        <v>1.018194660262749</v>
      </c>
      <c r="AW10">
        <f t="shared" si="0"/>
        <v>9072.4285714285706</v>
      </c>
    </row>
    <row r="11" spans="1:49" x14ac:dyDescent="0.25">
      <c r="Y11">
        <f t="shared" si="1"/>
        <v>0</v>
      </c>
      <c r="AW11">
        <f t="shared" si="0"/>
        <v>0</v>
      </c>
    </row>
    <row r="12" spans="1:49" x14ac:dyDescent="0.25">
      <c r="A12" t="s">
        <v>15</v>
      </c>
      <c r="B12">
        <v>2000</v>
      </c>
      <c r="E12">
        <v>0</v>
      </c>
      <c r="G12">
        <v>995</v>
      </c>
      <c r="H12">
        <v>1155</v>
      </c>
      <c r="I12">
        <v>1333</v>
      </c>
      <c r="J12">
        <v>1598</v>
      </c>
      <c r="K12">
        <v>1877</v>
      </c>
      <c r="L12">
        <v>2068</v>
      </c>
      <c r="M12">
        <v>2363</v>
      </c>
      <c r="N12">
        <v>2506</v>
      </c>
      <c r="O12">
        <v>2452</v>
      </c>
      <c r="P12">
        <v>2667</v>
      </c>
      <c r="Q12">
        <v>3491</v>
      </c>
      <c r="R12">
        <v>3691</v>
      </c>
      <c r="S12">
        <v>4082</v>
      </c>
      <c r="T12">
        <v>4694</v>
      </c>
      <c r="U12">
        <v>4906</v>
      </c>
      <c r="V12">
        <v>5001</v>
      </c>
      <c r="W12">
        <v>4609</v>
      </c>
      <c r="Y12">
        <f>SUM(G12:S12)</f>
        <v>30278</v>
      </c>
      <c r="Z12">
        <f t="shared" si="2"/>
        <v>12976.285714285714</v>
      </c>
      <c r="AB12">
        <v>2013</v>
      </c>
      <c r="AE12">
        <v>265</v>
      </c>
      <c r="AG12">
        <f>Z12+AE12-E12</f>
        <v>13241.285714285714</v>
      </c>
      <c r="AH12">
        <f>Z12/AG12</f>
        <v>0.97998683770458195</v>
      </c>
      <c r="AJ12">
        <f t="shared" si="3"/>
        <v>49488</v>
      </c>
      <c r="AK12">
        <f t="shared" si="4"/>
        <v>21209.142857142855</v>
      </c>
      <c r="AM12">
        <v>2017</v>
      </c>
      <c r="AP12">
        <v>171</v>
      </c>
      <c r="AR12">
        <f t="shared" si="5"/>
        <v>21380.142857142855</v>
      </c>
      <c r="AS12">
        <f t="shared" si="6"/>
        <v>0.99200192434902879</v>
      </c>
      <c r="AU12">
        <f t="shared" si="7"/>
        <v>1.011549533103981</v>
      </c>
      <c r="AW12">
        <f t="shared" si="0"/>
        <v>8152.2857142857138</v>
      </c>
    </row>
    <row r="13" spans="1:49" x14ac:dyDescent="0.25">
      <c r="Y13">
        <f t="shared" si="1"/>
        <v>0</v>
      </c>
      <c r="AW13">
        <f t="shared" si="0"/>
        <v>0</v>
      </c>
    </row>
    <row r="14" spans="1:49" x14ac:dyDescent="0.25">
      <c r="A14" t="s">
        <v>34</v>
      </c>
      <c r="B14">
        <v>2000</v>
      </c>
      <c r="E14">
        <v>0</v>
      </c>
      <c r="G14">
        <v>2080</v>
      </c>
      <c r="H14">
        <f>2355-120</f>
        <v>2235</v>
      </c>
      <c r="I14">
        <f>2360-120</f>
        <v>2240</v>
      </c>
      <c r="J14">
        <v>2503</v>
      </c>
      <c r="K14">
        <f>2586*0.9</f>
        <v>2327.4</v>
      </c>
      <c r="L14">
        <f>2661*0.8</f>
        <v>2128.8000000000002</v>
      </c>
      <c r="M14">
        <f>2788*0.9</f>
        <v>2509.2000000000003</v>
      </c>
      <c r="N14">
        <v>3124</v>
      </c>
      <c r="O14">
        <v>3069</v>
      </c>
      <c r="P14">
        <v>3102</v>
      </c>
      <c r="Q14">
        <v>3490</v>
      </c>
      <c r="R14">
        <v>3955</v>
      </c>
      <c r="S14">
        <v>4249</v>
      </c>
      <c r="T14">
        <v>4553</v>
      </c>
      <c r="U14">
        <v>4670</v>
      </c>
      <c r="V14">
        <v>5161</v>
      </c>
      <c r="W14">
        <v>5216</v>
      </c>
      <c r="Y14">
        <f>SUM(G14:S14)</f>
        <v>37012.400000000001</v>
      </c>
      <c r="Z14">
        <f t="shared" si="2"/>
        <v>15862.457142857143</v>
      </c>
      <c r="AB14">
        <v>2013</v>
      </c>
      <c r="AE14">
        <v>1047</v>
      </c>
      <c r="AG14">
        <f t="shared" ref="AG14:AG24" si="8">Z14+AE14-E14</f>
        <v>16909.457142857143</v>
      </c>
      <c r="AH14">
        <f t="shared" ref="AH14:AH24" si="9">Z14/AG14</f>
        <v>0.93808198624269423</v>
      </c>
      <c r="AJ14">
        <f t="shared" si="3"/>
        <v>56612.4</v>
      </c>
      <c r="AK14">
        <f t="shared" si="4"/>
        <v>24262.457142857143</v>
      </c>
      <c r="AM14">
        <v>2017</v>
      </c>
      <c r="AP14">
        <v>1115</v>
      </c>
      <c r="AR14">
        <f t="shared" si="5"/>
        <v>25377.457142857143</v>
      </c>
      <c r="AS14">
        <f t="shared" si="6"/>
        <v>0.95606336782588819</v>
      </c>
      <c r="AU14">
        <f t="shared" si="7"/>
        <v>0.99196976854038732</v>
      </c>
      <c r="AW14">
        <f t="shared" si="0"/>
        <v>9537.1714285714279</v>
      </c>
    </row>
    <row r="15" spans="1:49" x14ac:dyDescent="0.25">
      <c r="Y15">
        <f t="shared" si="1"/>
        <v>0</v>
      </c>
      <c r="AW15">
        <f t="shared" si="0"/>
        <v>0</v>
      </c>
    </row>
    <row r="16" spans="1:49" x14ac:dyDescent="0.25">
      <c r="A16" t="s">
        <v>19</v>
      </c>
      <c r="B16">
        <v>2000</v>
      </c>
      <c r="E16">
        <v>74</v>
      </c>
      <c r="G16">
        <v>2316</v>
      </c>
      <c r="H16">
        <v>2831</v>
      </c>
      <c r="I16">
        <v>3345</v>
      </c>
      <c r="J16">
        <v>3186</v>
      </c>
      <c r="K16">
        <v>4131</v>
      </c>
      <c r="L16">
        <v>4970</v>
      </c>
      <c r="M16">
        <v>3479</v>
      </c>
      <c r="N16">
        <v>3498</v>
      </c>
      <c r="O16">
        <v>3517</v>
      </c>
      <c r="P16">
        <v>3494</v>
      </c>
      <c r="Q16">
        <v>3489</v>
      </c>
      <c r="R16">
        <v>3491</v>
      </c>
      <c r="S16">
        <v>3508</v>
      </c>
      <c r="T16">
        <v>3567</v>
      </c>
      <c r="U16">
        <v>3700</v>
      </c>
      <c r="V16">
        <v>3787</v>
      </c>
      <c r="W16">
        <v>3736</v>
      </c>
      <c r="Y16">
        <f>SUM(G16:S16)</f>
        <v>45255</v>
      </c>
      <c r="Z16">
        <f t="shared" si="2"/>
        <v>19395</v>
      </c>
      <c r="AB16">
        <v>2013</v>
      </c>
      <c r="AE16">
        <v>-85</v>
      </c>
      <c r="AG16">
        <f t="shared" si="8"/>
        <v>19236</v>
      </c>
      <c r="AH16">
        <f t="shared" si="9"/>
        <v>1.0082657517155333</v>
      </c>
      <c r="AJ16">
        <f t="shared" si="3"/>
        <v>60045</v>
      </c>
      <c r="AK16">
        <f t="shared" si="4"/>
        <v>25733.571428571428</v>
      </c>
      <c r="AM16">
        <v>2017</v>
      </c>
      <c r="AP16">
        <v>9</v>
      </c>
      <c r="AR16">
        <f t="shared" si="5"/>
        <v>25668.571428571428</v>
      </c>
      <c r="AS16">
        <f t="shared" si="6"/>
        <v>1.0025322796081924</v>
      </c>
      <c r="AU16">
        <f t="shared" si="7"/>
        <v>0.98538687039175621</v>
      </c>
      <c r="AW16">
        <f t="shared" si="0"/>
        <v>12756</v>
      </c>
    </row>
    <row r="17" spans="1:49" x14ac:dyDescent="0.25">
      <c r="Y17">
        <f t="shared" si="1"/>
        <v>0</v>
      </c>
      <c r="AW17">
        <f t="shared" si="0"/>
        <v>0</v>
      </c>
    </row>
    <row r="18" spans="1:49" x14ac:dyDescent="0.25">
      <c r="A18" t="s">
        <v>16</v>
      </c>
      <c r="B18">
        <v>2000</v>
      </c>
      <c r="E18">
        <v>418</v>
      </c>
      <c r="G18">
        <v>500</v>
      </c>
      <c r="H18">
        <v>312</v>
      </c>
      <c r="I18">
        <v>381</v>
      </c>
      <c r="J18">
        <v>428</v>
      </c>
      <c r="K18">
        <v>500</v>
      </c>
      <c r="L18">
        <v>613</v>
      </c>
      <c r="M18">
        <v>788</v>
      </c>
      <c r="N18">
        <v>1006</v>
      </c>
      <c r="O18">
        <v>1174</v>
      </c>
      <c r="P18">
        <v>1349</v>
      </c>
      <c r="Q18">
        <v>1457</v>
      </c>
      <c r="R18">
        <v>1516</v>
      </c>
      <c r="S18">
        <v>1597</v>
      </c>
      <c r="T18">
        <v>1703</v>
      </c>
      <c r="U18">
        <v>1753</v>
      </c>
      <c r="V18">
        <v>1471</v>
      </c>
      <c r="W18">
        <v>860</v>
      </c>
      <c r="Y18">
        <f>SUM(G18:S18)</f>
        <v>11621</v>
      </c>
      <c r="Z18">
        <f t="shared" si="2"/>
        <v>4980.4285714285716</v>
      </c>
      <c r="AB18">
        <v>2013</v>
      </c>
      <c r="AE18">
        <v>1943</v>
      </c>
      <c r="AG18">
        <f t="shared" si="8"/>
        <v>6505.4285714285716</v>
      </c>
      <c r="AH18">
        <f t="shared" si="9"/>
        <v>0.76558039439588921</v>
      </c>
      <c r="AJ18">
        <f t="shared" si="3"/>
        <v>17408</v>
      </c>
      <c r="AK18">
        <f t="shared" si="4"/>
        <v>7460.5714285714284</v>
      </c>
      <c r="AM18">
        <v>2017</v>
      </c>
      <c r="AP18">
        <v>2577</v>
      </c>
      <c r="AR18">
        <f t="shared" si="5"/>
        <v>9619.5714285714275</v>
      </c>
      <c r="AS18">
        <f t="shared" si="6"/>
        <v>0.77556172683665747</v>
      </c>
      <c r="AU18">
        <f t="shared" si="7"/>
        <v>0.79641267948071037</v>
      </c>
      <c r="AW18">
        <f t="shared" si="0"/>
        <v>3135</v>
      </c>
    </row>
    <row r="19" spans="1:49" x14ac:dyDescent="0.25">
      <c r="Y19">
        <f t="shared" si="1"/>
        <v>0</v>
      </c>
      <c r="AW19">
        <f t="shared" si="0"/>
        <v>0</v>
      </c>
    </row>
    <row r="20" spans="1:49" x14ac:dyDescent="0.25">
      <c r="A20" t="s">
        <v>20</v>
      </c>
      <c r="B20">
        <v>2000</v>
      </c>
      <c r="E20">
        <v>0</v>
      </c>
      <c r="G20">
        <v>245</v>
      </c>
      <c r="H20">
        <v>459</v>
      </c>
      <c r="I20">
        <v>446</v>
      </c>
      <c r="J20">
        <v>500</v>
      </c>
      <c r="K20">
        <v>546</v>
      </c>
      <c r="L20">
        <v>725</v>
      </c>
      <c r="M20">
        <v>889</v>
      </c>
      <c r="N20">
        <v>997</v>
      </c>
      <c r="O20">
        <v>1487</v>
      </c>
      <c r="P20">
        <v>1330</v>
      </c>
      <c r="Q20">
        <v>1562</v>
      </c>
      <c r="R20">
        <v>1793</v>
      </c>
      <c r="S20">
        <v>1990</v>
      </c>
      <c r="T20">
        <v>2164</v>
      </c>
      <c r="U20">
        <v>2600</v>
      </c>
      <c r="V20">
        <v>2272</v>
      </c>
      <c r="W20">
        <v>2235</v>
      </c>
      <c r="Y20">
        <f>SUM(G20:S20)</f>
        <v>12969</v>
      </c>
      <c r="Z20">
        <f t="shared" si="2"/>
        <v>5558.1428571428569</v>
      </c>
      <c r="AB20">
        <v>2013</v>
      </c>
      <c r="AE20">
        <v>243</v>
      </c>
      <c r="AG20">
        <f t="shared" si="8"/>
        <v>5801.1428571428569</v>
      </c>
      <c r="AH20">
        <f t="shared" si="9"/>
        <v>0.95811170212765961</v>
      </c>
      <c r="AJ20">
        <f t="shared" si="3"/>
        <v>22240</v>
      </c>
      <c r="AK20">
        <f t="shared" si="4"/>
        <v>9531.4285714285706</v>
      </c>
      <c r="AM20">
        <v>2017</v>
      </c>
      <c r="AP20">
        <v>786</v>
      </c>
      <c r="AR20">
        <f t="shared" si="5"/>
        <v>10317.428571428571</v>
      </c>
      <c r="AS20">
        <f t="shared" si="6"/>
        <v>0.92381822713300654</v>
      </c>
      <c r="AU20">
        <f t="shared" si="7"/>
        <v>0.87976845701271589</v>
      </c>
      <c r="AW20">
        <f t="shared" si="0"/>
        <v>3444</v>
      </c>
    </row>
    <row r="21" spans="1:49" x14ac:dyDescent="0.25">
      <c r="Y21">
        <f t="shared" si="1"/>
        <v>0</v>
      </c>
      <c r="AW21">
        <f t="shared" si="0"/>
        <v>0</v>
      </c>
    </row>
    <row r="22" spans="1:49" x14ac:dyDescent="0.25">
      <c r="A22" t="s">
        <v>17</v>
      </c>
      <c r="B22">
        <v>2004</v>
      </c>
      <c r="E22">
        <f>47*(3/7)</f>
        <v>20.142857142857142</v>
      </c>
      <c r="K22">
        <v>85</v>
      </c>
      <c r="L22">
        <v>58</v>
      </c>
      <c r="M22">
        <v>0</v>
      </c>
      <c r="N22">
        <v>50</v>
      </c>
      <c r="O22">
        <v>138</v>
      </c>
      <c r="P22">
        <v>0</v>
      </c>
      <c r="Q22">
        <v>27</v>
      </c>
      <c r="R22">
        <v>9</v>
      </c>
      <c r="S22">
        <v>0</v>
      </c>
      <c r="T22">
        <v>0</v>
      </c>
      <c r="U22">
        <v>0</v>
      </c>
      <c r="V22">
        <v>0</v>
      </c>
      <c r="W22">
        <v>0</v>
      </c>
      <c r="Y22">
        <f>SUM(G22:S22)</f>
        <v>367</v>
      </c>
      <c r="Z22">
        <f t="shared" si="2"/>
        <v>157.28571428571428</v>
      </c>
      <c r="AB22">
        <v>2013</v>
      </c>
      <c r="AE22">
        <v>0</v>
      </c>
      <c r="AG22">
        <f t="shared" si="8"/>
        <v>137.14285714285714</v>
      </c>
      <c r="AH22">
        <f t="shared" si="9"/>
        <v>1.1468749999999999</v>
      </c>
      <c r="AJ22">
        <f t="shared" si="3"/>
        <v>367</v>
      </c>
      <c r="AK22">
        <f t="shared" si="4"/>
        <v>157.28571428571428</v>
      </c>
      <c r="AM22">
        <v>2017</v>
      </c>
      <c r="AP22">
        <v>0</v>
      </c>
      <c r="AR22">
        <f t="shared" si="5"/>
        <v>137.14285714285714</v>
      </c>
      <c r="AS22">
        <f t="shared" si="6"/>
        <v>1.1468749999999999</v>
      </c>
      <c r="AW22">
        <f t="shared" si="0"/>
        <v>153.42857142857142</v>
      </c>
    </row>
    <row r="23" spans="1:49" x14ac:dyDescent="0.25">
      <c r="AW23">
        <f t="shared" si="0"/>
        <v>0</v>
      </c>
    </row>
    <row r="24" spans="1:49" x14ac:dyDescent="0.25">
      <c r="A24" t="s">
        <v>21</v>
      </c>
      <c r="B24">
        <v>2000</v>
      </c>
      <c r="E24">
        <v>173</v>
      </c>
      <c r="G24">
        <v>560</v>
      </c>
      <c r="H24">
        <v>446</v>
      </c>
      <c r="I24">
        <v>413</v>
      </c>
      <c r="J24">
        <v>347</v>
      </c>
      <c r="K24">
        <v>447</v>
      </c>
      <c r="L24">
        <v>713</v>
      </c>
      <c r="M24">
        <v>847</v>
      </c>
      <c r="N24">
        <v>929</v>
      </c>
      <c r="O24">
        <f>574/0.79</f>
        <v>726.58227848101262</v>
      </c>
      <c r="P24">
        <f>773/0.92</f>
        <v>840.21739130434776</v>
      </c>
      <c r="Q24">
        <f>866/1.03</f>
        <v>840.77669902912623</v>
      </c>
      <c r="R24">
        <f>979/1.04</f>
        <v>941.34615384615381</v>
      </c>
      <c r="S24">
        <f>1738/0.97</f>
        <v>1791.7525773195878</v>
      </c>
      <c r="T24">
        <f>1764/0.9</f>
        <v>1960</v>
      </c>
      <c r="U24">
        <f>1730/0.75</f>
        <v>2306.6666666666665</v>
      </c>
      <c r="V24">
        <f>640/0.74</f>
        <v>864.8648648648649</v>
      </c>
      <c r="W24">
        <f>826/0.77</f>
        <v>1072.7272727272727</v>
      </c>
      <c r="Y24">
        <f t="shared" si="1"/>
        <v>9842.6750999802298</v>
      </c>
      <c r="Z24">
        <f t="shared" si="2"/>
        <v>4218.2893285629552</v>
      </c>
      <c r="AB24">
        <v>2013</v>
      </c>
      <c r="AC24">
        <v>2545</v>
      </c>
      <c r="AD24">
        <f>1/0.895</f>
        <v>1.1173184357541899</v>
      </c>
      <c r="AE24">
        <f>AC24*AD24</f>
        <v>2843.5754189944132</v>
      </c>
      <c r="AG24">
        <f t="shared" si="8"/>
        <v>6888.8647475573689</v>
      </c>
      <c r="AH24">
        <f t="shared" si="9"/>
        <v>0.61233446774501743</v>
      </c>
      <c r="AJ24">
        <f t="shared" si="3"/>
        <v>16046.933904239033</v>
      </c>
      <c r="AK24">
        <f t="shared" si="4"/>
        <v>6877.2573875310136</v>
      </c>
      <c r="AM24">
        <v>2017</v>
      </c>
      <c r="AN24">
        <v>2032</v>
      </c>
      <c r="AO24">
        <f>1/0.78</f>
        <v>1.2820512820512819</v>
      </c>
      <c r="AP24">
        <f>AN24*AO24</f>
        <v>2605.1282051282051</v>
      </c>
      <c r="AR24">
        <f t="shared" si="5"/>
        <v>9309.3855926592187</v>
      </c>
      <c r="AS24">
        <f t="shared" si="6"/>
        <v>0.73874449812820897</v>
      </c>
      <c r="AU24">
        <f t="shared" si="7"/>
        <v>1.098510704565395</v>
      </c>
      <c r="AW24">
        <f t="shared" si="0"/>
        <v>2438.8184437776372</v>
      </c>
    </row>
    <row r="25" spans="1:49" x14ac:dyDescent="0.25">
      <c r="Y25">
        <f t="shared" si="1"/>
        <v>0</v>
      </c>
      <c r="AW25">
        <f t="shared" si="0"/>
        <v>0</v>
      </c>
    </row>
    <row r="26" spans="1:49" x14ac:dyDescent="0.25">
      <c r="A26" t="s">
        <v>22</v>
      </c>
      <c r="B26">
        <v>2000</v>
      </c>
      <c r="E26">
        <f>1038*(3/7)</f>
        <v>444.85714285714283</v>
      </c>
      <c r="G26">
        <f>812/0.52</f>
        <v>1561.5384615384614</v>
      </c>
      <c r="H26">
        <f>826/0.54</f>
        <v>1529.6296296296296</v>
      </c>
      <c r="I26">
        <f>882/0.65</f>
        <v>1356.9230769230769</v>
      </c>
      <c r="J26">
        <f>1062/0.73</f>
        <v>1454.7945205479452</v>
      </c>
      <c r="K26">
        <f>1143/0.76</f>
        <v>1503.9473684210527</v>
      </c>
      <c r="L26">
        <f>2573/0.75</f>
        <v>3430.6666666666665</v>
      </c>
      <c r="M26">
        <f>1507/0.84</f>
        <v>1794.047619047619</v>
      </c>
      <c r="N26">
        <f>1933/0.86</f>
        <v>2247.6744186046512</v>
      </c>
      <c r="O26">
        <f>876/0.79</f>
        <v>1108.8607594936709</v>
      </c>
      <c r="P26">
        <f>1754/0.92</f>
        <v>1906.5217391304348</v>
      </c>
      <c r="Q26">
        <f>2236/1.03</f>
        <v>2170.8737864077671</v>
      </c>
      <c r="R26">
        <f>3038/1.04</f>
        <v>2921.1538461538462</v>
      </c>
      <c r="S26">
        <f>3322/0.97</f>
        <v>3424.7422680412374</v>
      </c>
      <c r="T26">
        <f>3710/0.9</f>
        <v>4122.2222222222217</v>
      </c>
      <c r="U26">
        <f>4076/0.75</f>
        <v>5434.666666666667</v>
      </c>
      <c r="V26">
        <f>2725/0.74</f>
        <v>3682.4324324324325</v>
      </c>
      <c r="W26">
        <f>4250/0.77</f>
        <v>5519.4805194805194</v>
      </c>
      <c r="Y26">
        <f t="shared" si="1"/>
        <v>26411.374160606061</v>
      </c>
      <c r="Z26">
        <f t="shared" si="2"/>
        <v>11319.160354545455</v>
      </c>
      <c r="AB26">
        <v>2013</v>
      </c>
      <c r="AC26">
        <f>(14298+2005)*(3/7)</f>
        <v>6987</v>
      </c>
      <c r="AD26">
        <f>1/0.89</f>
        <v>1.1235955056179776</v>
      </c>
      <c r="AE26">
        <f>AC26*AD26</f>
        <v>7850.56179775281</v>
      </c>
      <c r="AG26">
        <f>Z26+AE26-E26</f>
        <v>18724.865009441124</v>
      </c>
      <c r="AH26">
        <f t="shared" ref="AH26:AH44" si="10">Z26/AG26</f>
        <v>0.60449890286730001</v>
      </c>
      <c r="AJ26">
        <f t="shared" si="3"/>
        <v>45170.176001407905</v>
      </c>
      <c r="AK26">
        <f t="shared" si="4"/>
        <v>19358.646857746244</v>
      </c>
      <c r="AM26">
        <v>2017</v>
      </c>
      <c r="AN26">
        <f>(8542+3158)*(3/7)</f>
        <v>5014.2857142857138</v>
      </c>
      <c r="AO26">
        <f>1/0.78</f>
        <v>1.2820512820512819</v>
      </c>
      <c r="AP26">
        <f>AN26*AO26</f>
        <v>6428.5714285714275</v>
      </c>
      <c r="AR26">
        <f t="shared" si="5"/>
        <v>25342.36114346053</v>
      </c>
      <c r="AS26">
        <f t="shared" si="6"/>
        <v>0.76388489407750571</v>
      </c>
      <c r="AU26">
        <f t="shared" si="7"/>
        <v>1.214883445397297</v>
      </c>
      <c r="AW26">
        <f t="shared" si="0"/>
        <v>6693.1658049942025</v>
      </c>
    </row>
    <row r="27" spans="1:49" x14ac:dyDescent="0.25">
      <c r="Y27">
        <f t="shared" si="1"/>
        <v>0</v>
      </c>
      <c r="AW27">
        <f t="shared" si="0"/>
        <v>0</v>
      </c>
    </row>
    <row r="28" spans="1:49" x14ac:dyDescent="0.25">
      <c r="A28" t="s">
        <v>33</v>
      </c>
      <c r="B28">
        <v>2000</v>
      </c>
      <c r="E28">
        <v>25</v>
      </c>
      <c r="G28">
        <v>47</v>
      </c>
      <c r="H28">
        <v>55</v>
      </c>
      <c r="I28">
        <v>56</v>
      </c>
      <c r="J28">
        <v>82</v>
      </c>
      <c r="K28">
        <v>185</v>
      </c>
      <c r="L28">
        <v>71</v>
      </c>
      <c r="M28">
        <v>38</v>
      </c>
      <c r="N28">
        <v>194</v>
      </c>
      <c r="O28">
        <v>117</v>
      </c>
      <c r="P28">
        <v>0</v>
      </c>
      <c r="Q28">
        <v>115</v>
      </c>
      <c r="R28">
        <v>0</v>
      </c>
      <c r="S28">
        <v>0</v>
      </c>
      <c r="T28">
        <v>164</v>
      </c>
      <c r="U28">
        <v>0</v>
      </c>
      <c r="V28">
        <v>0</v>
      </c>
      <c r="W28">
        <v>0</v>
      </c>
      <c r="Y28">
        <f>SUM(G28:S28)</f>
        <v>960</v>
      </c>
      <c r="Z28">
        <f t="shared" si="2"/>
        <v>411.42857142857139</v>
      </c>
      <c r="AB28">
        <v>2013</v>
      </c>
      <c r="AE28">
        <v>83</v>
      </c>
      <c r="AG28">
        <f t="shared" ref="AG28:AG44" si="11">Z28+AE28-E28</f>
        <v>469.42857142857139</v>
      </c>
      <c r="AH28">
        <f t="shared" si="10"/>
        <v>0.87644552647595864</v>
      </c>
      <c r="AJ28">
        <f t="shared" si="3"/>
        <v>1124</v>
      </c>
      <c r="AM28">
        <v>2017</v>
      </c>
      <c r="AP28">
        <v>4.3</v>
      </c>
      <c r="AU28">
        <f t="shared" si="7"/>
        <v>0.87644552647595864</v>
      </c>
      <c r="AW28">
        <f t="shared" si="0"/>
        <v>343.71428571428572</v>
      </c>
    </row>
    <row r="29" spans="1:49" x14ac:dyDescent="0.25">
      <c r="Y29">
        <f t="shared" si="1"/>
        <v>0</v>
      </c>
      <c r="AW29">
        <f t="shared" si="0"/>
        <v>0</v>
      </c>
    </row>
    <row r="30" spans="1:49" x14ac:dyDescent="0.25">
      <c r="A30" t="s">
        <v>23</v>
      </c>
      <c r="B30">
        <v>2008</v>
      </c>
      <c r="E30">
        <v>133</v>
      </c>
      <c r="O30">
        <v>880</v>
      </c>
      <c r="P30">
        <v>73</v>
      </c>
      <c r="Q30">
        <v>0</v>
      </c>
      <c r="R30">
        <v>0</v>
      </c>
      <c r="S30">
        <v>0</v>
      </c>
      <c r="T30">
        <f>1159*0.4</f>
        <v>463.6</v>
      </c>
      <c r="U30">
        <f>931*0.4</f>
        <v>372.40000000000003</v>
      </c>
      <c r="V30">
        <f>1208*0.4</f>
        <v>483.20000000000005</v>
      </c>
      <c r="W30">
        <f>816*0.4+646*0.45</f>
        <v>617.1</v>
      </c>
      <c r="Y30">
        <f t="shared" si="1"/>
        <v>953</v>
      </c>
      <c r="Z30">
        <f t="shared" si="2"/>
        <v>408.42857142857139</v>
      </c>
      <c r="AB30">
        <v>2013</v>
      </c>
      <c r="AE30">
        <v>297</v>
      </c>
      <c r="AG30">
        <f t="shared" si="11"/>
        <v>572.42857142857133</v>
      </c>
      <c r="AH30">
        <f t="shared" si="10"/>
        <v>0.71350137259795365</v>
      </c>
      <c r="AJ30">
        <f t="shared" si="3"/>
        <v>2889.2999999999997</v>
      </c>
      <c r="AK30">
        <f t="shared" si="4"/>
        <v>1238.2714285714285</v>
      </c>
      <c r="AM30">
        <v>2017</v>
      </c>
      <c r="AP30">
        <v>199</v>
      </c>
      <c r="AR30">
        <f t="shared" si="5"/>
        <v>1304.2714285714285</v>
      </c>
      <c r="AS30">
        <f t="shared" si="6"/>
        <v>0.94939703611211512</v>
      </c>
      <c r="AU30">
        <f t="shared" si="7"/>
        <v>1.1339085283726014</v>
      </c>
      <c r="AW30">
        <f t="shared" si="0"/>
        <v>408.42857142857139</v>
      </c>
    </row>
    <row r="31" spans="1:49" x14ac:dyDescent="0.25">
      <c r="Y31">
        <f t="shared" si="1"/>
        <v>0</v>
      </c>
      <c r="AW31">
        <f t="shared" si="0"/>
        <v>0</v>
      </c>
    </row>
    <row r="32" spans="1:49" x14ac:dyDescent="0.25">
      <c r="A32" t="s">
        <v>24</v>
      </c>
      <c r="B32">
        <v>2000</v>
      </c>
      <c r="E32">
        <v>0</v>
      </c>
      <c r="G32">
        <v>23</v>
      </c>
      <c r="H32">
        <v>34</v>
      </c>
      <c r="I32">
        <v>13</v>
      </c>
      <c r="J32">
        <v>53</v>
      </c>
      <c r="K32">
        <v>94</v>
      </c>
      <c r="L32">
        <v>134</v>
      </c>
      <c r="M32">
        <v>158</v>
      </c>
      <c r="N32">
        <v>201</v>
      </c>
      <c r="O32">
        <v>554</v>
      </c>
      <c r="P32">
        <v>439</v>
      </c>
      <c r="Q32">
        <v>442</v>
      </c>
      <c r="R32">
        <v>538</v>
      </c>
      <c r="S32">
        <v>546</v>
      </c>
      <c r="T32">
        <v>0</v>
      </c>
      <c r="U32">
        <v>0</v>
      </c>
      <c r="V32">
        <v>0</v>
      </c>
      <c r="W32">
        <v>0</v>
      </c>
      <c r="Y32">
        <f>SUM(G32:S32)</f>
        <v>3229</v>
      </c>
      <c r="Z32">
        <f t="shared" si="2"/>
        <v>1383.8571428571429</v>
      </c>
      <c r="AB32">
        <v>2013</v>
      </c>
      <c r="AE32">
        <v>0</v>
      </c>
      <c r="AG32">
        <f t="shared" si="11"/>
        <v>1383.8571428571429</v>
      </c>
      <c r="AH32">
        <f t="shared" si="10"/>
        <v>1</v>
      </c>
      <c r="AJ32">
        <f t="shared" si="3"/>
        <v>3229</v>
      </c>
      <c r="AK32">
        <f t="shared" si="4"/>
        <v>1383.8571428571429</v>
      </c>
      <c r="AM32">
        <v>2017</v>
      </c>
      <c r="AP32">
        <v>0</v>
      </c>
      <c r="AR32">
        <f t="shared" si="5"/>
        <v>1383.8571428571429</v>
      </c>
      <c r="AS32">
        <f t="shared" si="6"/>
        <v>1</v>
      </c>
      <c r="AW32">
        <f t="shared" si="0"/>
        <v>889.28571428571422</v>
      </c>
    </row>
    <row r="33" spans="1:49" x14ac:dyDescent="0.25">
      <c r="Y33">
        <f t="shared" si="1"/>
        <v>0</v>
      </c>
      <c r="AW33">
        <f t="shared" si="0"/>
        <v>0</v>
      </c>
    </row>
    <row r="34" spans="1:49" x14ac:dyDescent="0.25">
      <c r="A34" t="s">
        <v>25</v>
      </c>
      <c r="B34">
        <v>2000</v>
      </c>
      <c r="E34">
        <f>136*(34/66)</f>
        <v>70.060606060606062</v>
      </c>
      <c r="G34">
        <v>229</v>
      </c>
      <c r="H34">
        <v>300</v>
      </c>
      <c r="I34">
        <v>305</v>
      </c>
      <c r="J34">
        <v>335</v>
      </c>
      <c r="K34">
        <v>458</v>
      </c>
      <c r="L34">
        <v>920</v>
      </c>
      <c r="M34">
        <v>573</v>
      </c>
      <c r="N34">
        <v>993</v>
      </c>
      <c r="O34">
        <v>729</v>
      </c>
      <c r="P34">
        <v>440</v>
      </c>
      <c r="Q34">
        <v>444</v>
      </c>
      <c r="R34">
        <v>511</v>
      </c>
      <c r="S34">
        <v>769</v>
      </c>
      <c r="T34">
        <v>1088</v>
      </c>
      <c r="U34">
        <v>1386</v>
      </c>
      <c r="V34">
        <v>1025</v>
      </c>
      <c r="W34">
        <v>911</v>
      </c>
      <c r="Y34">
        <f>SUM(G34:S34)</f>
        <v>7006</v>
      </c>
      <c r="Z34">
        <f t="shared" si="2"/>
        <v>3002.5714285714284</v>
      </c>
      <c r="AB34">
        <v>2013</v>
      </c>
      <c r="AE34">
        <v>551</v>
      </c>
      <c r="AG34">
        <f t="shared" si="11"/>
        <v>3483.5108225108224</v>
      </c>
      <c r="AH34">
        <f t="shared" si="10"/>
        <v>0.86193830923919867</v>
      </c>
      <c r="AJ34">
        <f t="shared" si="3"/>
        <v>11416</v>
      </c>
      <c r="AK34">
        <f t="shared" si="4"/>
        <v>4892.5714285714284</v>
      </c>
      <c r="AM34">
        <v>2017</v>
      </c>
      <c r="AP34">
        <v>456</v>
      </c>
      <c r="AR34">
        <f t="shared" si="5"/>
        <v>5278.5108225108224</v>
      </c>
      <c r="AS34">
        <f t="shared" si="6"/>
        <v>0.92688479631537168</v>
      </c>
      <c r="AU34">
        <f t="shared" si="7"/>
        <v>1.0529247910863511</v>
      </c>
      <c r="AW34">
        <f t="shared" si="0"/>
        <v>2096.5714285714284</v>
      </c>
    </row>
    <row r="35" spans="1:49" x14ac:dyDescent="0.25">
      <c r="Y35">
        <f t="shared" si="1"/>
        <v>0</v>
      </c>
      <c r="AW35">
        <f t="shared" si="0"/>
        <v>0</v>
      </c>
    </row>
    <row r="36" spans="1:49" x14ac:dyDescent="0.25">
      <c r="A36" t="s">
        <v>26</v>
      </c>
      <c r="B36">
        <v>2000</v>
      </c>
      <c r="E36">
        <v>-8</v>
      </c>
      <c r="G36">
        <v>19</v>
      </c>
      <c r="H36">
        <v>37</v>
      </c>
      <c r="I36">
        <v>34</v>
      </c>
      <c r="J36">
        <v>126</v>
      </c>
      <c r="K36">
        <v>241</v>
      </c>
      <c r="L36">
        <v>344</v>
      </c>
      <c r="M36">
        <v>566</v>
      </c>
      <c r="N36">
        <v>396</v>
      </c>
      <c r="O36">
        <v>255</v>
      </c>
      <c r="P36">
        <f>217/0.92</f>
        <v>235.86956521739128</v>
      </c>
      <c r="Q36">
        <f>139/1.03</f>
        <v>134.95145631067962</v>
      </c>
      <c r="R36">
        <f>146/1.04</f>
        <v>140.38461538461539</v>
      </c>
      <c r="S36">
        <f>349/0.97</f>
        <v>359.79381443298968</v>
      </c>
      <c r="T36">
        <v>342</v>
      </c>
      <c r="U36">
        <v>574</v>
      </c>
      <c r="V36">
        <v>555</v>
      </c>
      <c r="W36">
        <f>302*0.3+453*0.5</f>
        <v>317.10000000000002</v>
      </c>
      <c r="Y36">
        <f t="shared" si="1"/>
        <v>2888.9994513456759</v>
      </c>
      <c r="Z36">
        <f t="shared" si="2"/>
        <v>1238.1426220052897</v>
      </c>
      <c r="AB36">
        <v>2013</v>
      </c>
      <c r="AE36">
        <v>272</v>
      </c>
      <c r="AG36">
        <f t="shared" si="11"/>
        <v>1518.1426220052897</v>
      </c>
      <c r="AH36">
        <f t="shared" si="10"/>
        <v>0.81556410053875394</v>
      </c>
      <c r="AJ36">
        <f t="shared" si="3"/>
        <v>4677.0994513456762</v>
      </c>
      <c r="AK36">
        <f t="shared" si="4"/>
        <v>2004.4711934338611</v>
      </c>
      <c r="AM36">
        <v>2017</v>
      </c>
      <c r="AP36">
        <v>199</v>
      </c>
      <c r="AR36">
        <f t="shared" si="5"/>
        <v>2211.4711934338611</v>
      </c>
      <c r="AS36">
        <f t="shared" si="6"/>
        <v>0.90639715289323719</v>
      </c>
      <c r="AU36">
        <f t="shared" si="7"/>
        <v>1.1052891846784663</v>
      </c>
      <c r="AW36">
        <f t="shared" si="0"/>
        <v>985.20900922631608</v>
      </c>
    </row>
    <row r="37" spans="1:49" x14ac:dyDescent="0.25">
      <c r="AW37">
        <f t="shared" si="0"/>
        <v>0</v>
      </c>
    </row>
    <row r="38" spans="1:49" x14ac:dyDescent="0.25">
      <c r="A38" t="s">
        <v>27</v>
      </c>
      <c r="B38">
        <v>2006</v>
      </c>
      <c r="C38">
        <v>139</v>
      </c>
      <c r="D38">
        <f>1/0.74</f>
        <v>1.3513513513513513</v>
      </c>
      <c r="E38">
        <f>C38*D38</f>
        <v>187.83783783783784</v>
      </c>
      <c r="M38">
        <f>356/0.79</f>
        <v>450.63291139240505</v>
      </c>
      <c r="N38">
        <f>66/0.9</f>
        <v>73.333333333333329</v>
      </c>
      <c r="O38">
        <f>34/0.75</f>
        <v>45.333333333333336</v>
      </c>
      <c r="P38">
        <f>65/0.88</f>
        <v>73.86363636363636</v>
      </c>
      <c r="Q38">
        <f>75/0.99</f>
        <v>75.757575757575765</v>
      </c>
      <c r="R38">
        <f>80/1.03</f>
        <v>77.669902912621353</v>
      </c>
      <c r="S38">
        <f>128/1.03</f>
        <v>124.27184466019418</v>
      </c>
      <c r="T38">
        <f>118/0.92</f>
        <v>128.26086956521738</v>
      </c>
      <c r="U38">
        <f>108/0.84</f>
        <v>128.57142857142858</v>
      </c>
      <c r="V38">
        <f>90/0.73</f>
        <v>123.28767123287672</v>
      </c>
      <c r="W38">
        <f>87/0.75</f>
        <v>116</v>
      </c>
      <c r="Y38">
        <f t="shared" si="1"/>
        <v>920.86253775309933</v>
      </c>
      <c r="Z38">
        <f t="shared" si="2"/>
        <v>394.65537332275682</v>
      </c>
      <c r="AB38">
        <v>2013</v>
      </c>
      <c r="AC38">
        <v>72</v>
      </c>
      <c r="AD38">
        <f>1/0.92</f>
        <v>1.0869565217391304</v>
      </c>
      <c r="AE38">
        <f>AC38*AD38</f>
        <v>78.260869565217391</v>
      </c>
      <c r="AG38">
        <f t="shared" si="11"/>
        <v>285.07840505013633</v>
      </c>
      <c r="AH38">
        <f t="shared" si="10"/>
        <v>1.3843748468192438</v>
      </c>
      <c r="AJ38">
        <f t="shared" si="3"/>
        <v>1416.9825071226221</v>
      </c>
      <c r="AK38">
        <f t="shared" si="4"/>
        <v>607.27821733826659</v>
      </c>
      <c r="AM38">
        <v>2017</v>
      </c>
      <c r="AN38">
        <v>57</v>
      </c>
      <c r="AO38">
        <f>1/0.77</f>
        <v>1.2987012987012987</v>
      </c>
      <c r="AP38">
        <f>AN38*AO38</f>
        <v>74.025974025974023</v>
      </c>
      <c r="AR38">
        <f t="shared" si="5"/>
        <v>493.46635352640283</v>
      </c>
      <c r="AS38">
        <f t="shared" si="6"/>
        <v>1.230637535869554</v>
      </c>
      <c r="AU38">
        <f t="shared" si="7"/>
        <v>1.020322171076633</v>
      </c>
      <c r="AW38">
        <f t="shared" si="0"/>
        <v>308.10891007726451</v>
      </c>
    </row>
    <row r="39" spans="1:49" x14ac:dyDescent="0.25">
      <c r="AW39">
        <f t="shared" si="0"/>
        <v>0</v>
      </c>
    </row>
    <row r="40" spans="1:49" x14ac:dyDescent="0.25">
      <c r="A40" t="s">
        <v>28</v>
      </c>
      <c r="B40">
        <v>2000</v>
      </c>
      <c r="E40">
        <v>360</v>
      </c>
      <c r="G40">
        <v>180</v>
      </c>
      <c r="H40">
        <v>200</v>
      </c>
      <c r="I40">
        <v>198</v>
      </c>
      <c r="J40">
        <v>213</v>
      </c>
      <c r="K40">
        <v>243</v>
      </c>
      <c r="L40">
        <v>268</v>
      </c>
      <c r="M40">
        <v>269</v>
      </c>
      <c r="N40">
        <v>286</v>
      </c>
      <c r="O40">
        <v>327</v>
      </c>
      <c r="P40">
        <v>350</v>
      </c>
      <c r="Q40">
        <v>263</v>
      </c>
      <c r="R40">
        <v>285</v>
      </c>
      <c r="S40">
        <v>289</v>
      </c>
      <c r="T40">
        <v>341</v>
      </c>
      <c r="U40">
        <v>298</v>
      </c>
      <c r="V40">
        <f>66/0.74</f>
        <v>89.189189189189193</v>
      </c>
      <c r="W40">
        <v>0</v>
      </c>
      <c r="Y40">
        <f>SUM(G40:S40)</f>
        <v>3371</v>
      </c>
      <c r="Z40">
        <f t="shared" si="2"/>
        <v>1444.7142857142856</v>
      </c>
      <c r="AB40">
        <v>2013</v>
      </c>
      <c r="AE40">
        <v>845</v>
      </c>
      <c r="AG40">
        <f t="shared" si="11"/>
        <v>1929.7142857142853</v>
      </c>
      <c r="AH40">
        <f t="shared" si="10"/>
        <v>0.74866745632217957</v>
      </c>
      <c r="AJ40">
        <f t="shared" si="3"/>
        <v>4099.1891891891892</v>
      </c>
      <c r="AK40">
        <f t="shared" si="4"/>
        <v>1756.7953667953666</v>
      </c>
      <c r="AM40">
        <v>2017</v>
      </c>
      <c r="AN40">
        <v>399</v>
      </c>
      <c r="AO40">
        <f>1/0.78</f>
        <v>1.2820512820512819</v>
      </c>
      <c r="AP40">
        <f t="shared" ref="AP40" si="12">AN40*AO40</f>
        <v>511.53846153846149</v>
      </c>
      <c r="AR40">
        <f t="shared" si="5"/>
        <v>1908.333828333828</v>
      </c>
      <c r="AS40">
        <f t="shared" si="6"/>
        <v>0.92059121979157588</v>
      </c>
      <c r="AU40">
        <f t="shared" si="7"/>
        <v>-14.596557759626657</v>
      </c>
      <c r="AW40">
        <f t="shared" si="0"/>
        <v>951</v>
      </c>
    </row>
    <row r="41" spans="1:49" x14ac:dyDescent="0.25">
      <c r="AW41">
        <f t="shared" si="0"/>
        <v>0</v>
      </c>
    </row>
    <row r="42" spans="1:49" x14ac:dyDescent="0.25">
      <c r="A42" t="s">
        <v>29</v>
      </c>
      <c r="B42">
        <v>2002</v>
      </c>
      <c r="E42">
        <v>80</v>
      </c>
      <c r="I42">
        <v>51</v>
      </c>
      <c r="J42">
        <v>322</v>
      </c>
      <c r="K42">
        <v>392</v>
      </c>
      <c r="L42">
        <v>556</v>
      </c>
      <c r="M42">
        <v>685</v>
      </c>
      <c r="N42">
        <v>765</v>
      </c>
      <c r="O42">
        <v>412</v>
      </c>
      <c r="P42">
        <v>351</v>
      </c>
      <c r="Q42">
        <v>315</v>
      </c>
      <c r="R42">
        <v>399</v>
      </c>
      <c r="S42">
        <v>475</v>
      </c>
      <c r="T42">
        <f>710*0.7</f>
        <v>496.99999999999994</v>
      </c>
      <c r="U42">
        <f>399*0.8+414*0.85</f>
        <v>671.1</v>
      </c>
      <c r="V42">
        <f>828*0.9</f>
        <v>745.2</v>
      </c>
      <c r="W42">
        <f>837*0.9</f>
        <v>753.30000000000007</v>
      </c>
      <c r="Y42">
        <f t="shared" si="1"/>
        <v>4723</v>
      </c>
      <c r="Z42">
        <f t="shared" si="2"/>
        <v>2024.1428571428571</v>
      </c>
      <c r="AB42">
        <v>2013</v>
      </c>
      <c r="AE42">
        <v>196</v>
      </c>
      <c r="AG42">
        <f t="shared" si="11"/>
        <v>2140.1428571428569</v>
      </c>
      <c r="AH42">
        <f t="shared" si="10"/>
        <v>0.94579801081369741</v>
      </c>
      <c r="AJ42">
        <f t="shared" si="3"/>
        <v>7389.6</v>
      </c>
      <c r="AK42">
        <f t="shared" si="4"/>
        <v>3166.9714285714285</v>
      </c>
      <c r="AM42">
        <v>2017</v>
      </c>
      <c r="AP42">
        <v>275</v>
      </c>
      <c r="AR42">
        <f t="shared" si="5"/>
        <v>3361.9714285714285</v>
      </c>
      <c r="AS42">
        <f t="shared" si="6"/>
        <v>0.941998317313821</v>
      </c>
      <c r="AU42">
        <f t="shared" si="7"/>
        <v>0.93534281171078459</v>
      </c>
      <c r="AW42">
        <f t="shared" si="0"/>
        <v>1627.7142857142856</v>
      </c>
    </row>
    <row r="43" spans="1:49" x14ac:dyDescent="0.25">
      <c r="AW43">
        <f t="shared" si="0"/>
        <v>0</v>
      </c>
    </row>
    <row r="44" spans="1:49" x14ac:dyDescent="0.25">
      <c r="A44" t="s">
        <v>30</v>
      </c>
      <c r="B44">
        <v>2000</v>
      </c>
      <c r="E44">
        <v>0</v>
      </c>
      <c r="G44">
        <v>88</v>
      </c>
      <c r="H44">
        <v>103</v>
      </c>
      <c r="I44">
        <v>120</v>
      </c>
      <c r="J44">
        <v>106</v>
      </c>
      <c r="K44">
        <v>98</v>
      </c>
      <c r="L44">
        <v>55</v>
      </c>
      <c r="M44">
        <v>23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Y44">
        <f>SUM(G44:S44)</f>
        <v>593</v>
      </c>
      <c r="Z44">
        <f t="shared" si="2"/>
        <v>254.14285714285714</v>
      </c>
      <c r="AB44">
        <v>2013</v>
      </c>
      <c r="AE44">
        <v>0</v>
      </c>
      <c r="AG44">
        <f t="shared" si="11"/>
        <v>254.14285714285714</v>
      </c>
      <c r="AH44">
        <f t="shared" si="10"/>
        <v>1</v>
      </c>
      <c r="AJ44">
        <f t="shared" si="3"/>
        <v>593</v>
      </c>
      <c r="AK44">
        <f t="shared" si="4"/>
        <v>254.14285714285714</v>
      </c>
      <c r="AM44">
        <v>2016</v>
      </c>
      <c r="AP44">
        <v>0</v>
      </c>
      <c r="AR44">
        <f t="shared" si="5"/>
        <v>254.14285714285714</v>
      </c>
      <c r="AS44">
        <f t="shared" si="6"/>
        <v>1</v>
      </c>
      <c r="AW44">
        <f t="shared" si="0"/>
        <v>120.85714285714285</v>
      </c>
    </row>
    <row r="46" spans="1:49" x14ac:dyDescent="0.25">
      <c r="A46" t="s">
        <v>39</v>
      </c>
      <c r="B46">
        <v>2007</v>
      </c>
      <c r="E46">
        <v>72</v>
      </c>
      <c r="N46">
        <v>8</v>
      </c>
      <c r="O46">
        <v>19</v>
      </c>
      <c r="P46">
        <v>0</v>
      </c>
      <c r="Q46">
        <v>0</v>
      </c>
      <c r="R46">
        <v>51</v>
      </c>
      <c r="S46">
        <v>102</v>
      </c>
      <c r="T46">
        <v>104</v>
      </c>
      <c r="U46">
        <v>134</v>
      </c>
      <c r="V46">
        <v>134</v>
      </c>
      <c r="W46">
        <v>142</v>
      </c>
      <c r="AJ46">
        <f t="shared" si="3"/>
        <v>694</v>
      </c>
      <c r="AK46">
        <f t="shared" si="4"/>
        <v>297.42857142857139</v>
      </c>
      <c r="AM46">
        <v>2017</v>
      </c>
      <c r="AP46">
        <v>158</v>
      </c>
      <c r="AR46">
        <f t="shared" si="5"/>
        <v>383.42857142857139</v>
      </c>
      <c r="AS46">
        <f t="shared" si="6"/>
        <v>0.77570789865871825</v>
      </c>
    </row>
    <row r="48" spans="1:49" x14ac:dyDescent="0.25">
      <c r="A48" t="s">
        <v>40</v>
      </c>
      <c r="B48">
        <v>2014</v>
      </c>
      <c r="E48">
        <v>164</v>
      </c>
      <c r="U48">
        <v>151</v>
      </c>
      <c r="V48">
        <v>0</v>
      </c>
      <c r="W48">
        <v>152</v>
      </c>
      <c r="AJ48">
        <f t="shared" si="3"/>
        <v>303</v>
      </c>
      <c r="AK48">
        <f t="shared" si="4"/>
        <v>129.85714285714286</v>
      </c>
      <c r="AM48">
        <v>2017</v>
      </c>
      <c r="AP48">
        <v>132</v>
      </c>
      <c r="AR48">
        <f t="shared" si="5"/>
        <v>97.85714285714289</v>
      </c>
      <c r="AS48">
        <f t="shared" si="6"/>
        <v>1.3270072992700725</v>
      </c>
    </row>
    <row r="50" spans="1:45" x14ac:dyDescent="0.25">
      <c r="A50" t="s">
        <v>41</v>
      </c>
      <c r="B50">
        <v>2004</v>
      </c>
      <c r="E50">
        <v>0</v>
      </c>
      <c r="K50">
        <v>48</v>
      </c>
      <c r="L50">
        <v>149</v>
      </c>
      <c r="M50">
        <v>176</v>
      </c>
      <c r="N50">
        <v>178</v>
      </c>
      <c r="O50">
        <v>69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22.4</v>
      </c>
      <c r="AJ50">
        <f t="shared" si="3"/>
        <v>642.4</v>
      </c>
      <c r="AK50">
        <f t="shared" si="4"/>
        <v>275.31428571428569</v>
      </c>
      <c r="AM50">
        <v>2017</v>
      </c>
      <c r="AP50">
        <v>51.6</v>
      </c>
      <c r="AR50">
        <f t="shared" si="5"/>
        <v>326.91428571428571</v>
      </c>
      <c r="AS50">
        <f t="shared" si="6"/>
        <v>0.842160461457787</v>
      </c>
    </row>
    <row r="52" spans="1:45" x14ac:dyDescent="0.25">
      <c r="A52" t="s">
        <v>42</v>
      </c>
      <c r="B52">
        <v>2000</v>
      </c>
      <c r="E52">
        <v>489</v>
      </c>
      <c r="G52">
        <v>90</v>
      </c>
      <c r="H52">
        <v>173</v>
      </c>
      <c r="I52">
        <v>222</v>
      </c>
      <c r="J52">
        <v>354</v>
      </c>
      <c r="K52">
        <v>538</v>
      </c>
      <c r="L52">
        <v>736</v>
      </c>
      <c r="M52">
        <v>579</v>
      </c>
      <c r="N52">
        <v>594</v>
      </c>
      <c r="O52">
        <v>290</v>
      </c>
      <c r="P52">
        <v>386</v>
      </c>
      <c r="Q52">
        <v>378</v>
      </c>
      <c r="R52">
        <v>290</v>
      </c>
      <c r="S52">
        <v>563</v>
      </c>
      <c r="T52">
        <v>904</v>
      </c>
      <c r="U52">
        <v>1042</v>
      </c>
      <c r="V52">
        <v>1014</v>
      </c>
      <c r="W52">
        <v>691</v>
      </c>
      <c r="AJ52">
        <f t="shared" si="3"/>
        <v>8844</v>
      </c>
      <c r="AK52">
        <f t="shared" si="4"/>
        <v>3790.2857142857142</v>
      </c>
      <c r="AM52">
        <v>2017</v>
      </c>
      <c r="AP52">
        <v>115</v>
      </c>
      <c r="AR52">
        <f t="shared" si="5"/>
        <v>3416.2857142857142</v>
      </c>
      <c r="AS52">
        <f t="shared" si="6"/>
        <v>1.1094756209751611</v>
      </c>
    </row>
    <row r="54" spans="1:45" x14ac:dyDescent="0.25">
      <c r="A54" t="s">
        <v>43</v>
      </c>
      <c r="B54">
        <v>2016</v>
      </c>
      <c r="E54">
        <v>0</v>
      </c>
      <c r="W54">
        <v>0</v>
      </c>
      <c r="AJ54">
        <f t="shared" si="3"/>
        <v>0</v>
      </c>
      <c r="AK54">
        <f t="shared" si="4"/>
        <v>0</v>
      </c>
      <c r="AM54">
        <v>2017</v>
      </c>
      <c r="AP54">
        <f>184/0.7692</f>
        <v>239.20956838273531</v>
      </c>
      <c r="AR54">
        <f t="shared" si="5"/>
        <v>239.20956838273531</v>
      </c>
      <c r="AS54">
        <f t="shared" si="6"/>
        <v>0</v>
      </c>
    </row>
    <row r="56" spans="1:45" x14ac:dyDescent="0.25">
      <c r="A56" t="s">
        <v>44</v>
      </c>
      <c r="B56">
        <v>2010</v>
      </c>
      <c r="E56">
        <v>43</v>
      </c>
      <c r="P56">
        <v>0</v>
      </c>
      <c r="Q56">
        <v>0</v>
      </c>
      <c r="R56">
        <v>0</v>
      </c>
      <c r="S56">
        <v>0</v>
      </c>
      <c r="T56">
        <v>89</v>
      </c>
      <c r="U56">
        <v>0</v>
      </c>
      <c r="AJ56">
        <f t="shared" si="3"/>
        <v>89</v>
      </c>
      <c r="AK56">
        <f t="shared" si="4"/>
        <v>38.142857142857139</v>
      </c>
      <c r="AM56">
        <v>2015</v>
      </c>
      <c r="AP56">
        <v>0</v>
      </c>
      <c r="AR56">
        <f t="shared" si="5"/>
        <v>-4.8571428571428612</v>
      </c>
      <c r="AS56">
        <f t="shared" si="6"/>
        <v>-7.8529411764705808</v>
      </c>
    </row>
    <row r="58" spans="1:45" x14ac:dyDescent="0.25">
      <c r="A58" t="s">
        <v>45</v>
      </c>
      <c r="B58">
        <v>2007</v>
      </c>
      <c r="E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26</v>
      </c>
      <c r="T58">
        <v>0</v>
      </c>
      <c r="U58">
        <v>0</v>
      </c>
      <c r="V58">
        <v>0</v>
      </c>
      <c r="W58">
        <v>0</v>
      </c>
      <c r="AJ58">
        <f t="shared" si="3"/>
        <v>26</v>
      </c>
      <c r="AK58">
        <f t="shared" si="4"/>
        <v>11.142857142857142</v>
      </c>
      <c r="AM58">
        <v>2017</v>
      </c>
      <c r="AP58">
        <f>18/0.7692</f>
        <v>23.400936037441497</v>
      </c>
      <c r="AR58">
        <f t="shared" si="5"/>
        <v>34.543793180298636</v>
      </c>
      <c r="AS58">
        <f t="shared" si="6"/>
        <v>0.32257190415360204</v>
      </c>
    </row>
    <row r="60" spans="1:45" x14ac:dyDescent="0.25">
      <c r="A60" t="s">
        <v>46</v>
      </c>
      <c r="B60">
        <v>2011</v>
      </c>
      <c r="E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AJ60">
        <f t="shared" si="3"/>
        <v>0</v>
      </c>
      <c r="AK60">
        <f t="shared" si="4"/>
        <v>0</v>
      </c>
      <c r="AM60">
        <v>2017</v>
      </c>
      <c r="AP60">
        <v>0</v>
      </c>
      <c r="AR60">
        <f t="shared" si="5"/>
        <v>0</v>
      </c>
      <c r="AS60" t="e">
        <f t="shared" si="6"/>
        <v>#DIV/0!</v>
      </c>
    </row>
    <row r="62" spans="1:45" x14ac:dyDescent="0.25">
      <c r="A62" t="s">
        <v>47</v>
      </c>
      <c r="B62">
        <v>2014</v>
      </c>
      <c r="E62">
        <v>597</v>
      </c>
      <c r="U62">
        <v>386</v>
      </c>
      <c r="V62">
        <v>333</v>
      </c>
      <c r="W62">
        <v>396</v>
      </c>
      <c r="AJ62">
        <f t="shared" si="3"/>
        <v>1115</v>
      </c>
      <c r="AK62">
        <f t="shared" si="4"/>
        <v>477.85714285714283</v>
      </c>
      <c r="AM62">
        <v>2017</v>
      </c>
      <c r="AP62">
        <v>225</v>
      </c>
      <c r="AR62">
        <f t="shared" si="5"/>
        <v>105.85714285714289</v>
      </c>
      <c r="AS62">
        <f t="shared" si="6"/>
        <v>4.514170040485828</v>
      </c>
    </row>
    <row r="64" spans="1:45" x14ac:dyDescent="0.25">
      <c r="A64" t="s">
        <v>48</v>
      </c>
      <c r="B64">
        <v>2006</v>
      </c>
      <c r="E64">
        <v>0</v>
      </c>
      <c r="M64">
        <v>36</v>
      </c>
      <c r="N64">
        <v>226</v>
      </c>
      <c r="O64">
        <v>236</v>
      </c>
      <c r="P64">
        <v>256</v>
      </c>
      <c r="Q64">
        <v>0</v>
      </c>
      <c r="R64">
        <v>278</v>
      </c>
      <c r="S64">
        <v>340</v>
      </c>
      <c r="T64">
        <v>351</v>
      </c>
      <c r="U64">
        <v>387</v>
      </c>
      <c r="V64">
        <v>446</v>
      </c>
      <c r="W64">
        <v>462</v>
      </c>
      <c r="AJ64">
        <f t="shared" si="3"/>
        <v>3018</v>
      </c>
      <c r="AK64">
        <f t="shared" si="4"/>
        <v>1293.4285714285713</v>
      </c>
      <c r="AM64">
        <v>2017</v>
      </c>
      <c r="AP64">
        <v>63</v>
      </c>
      <c r="AR64">
        <f t="shared" si="5"/>
        <v>1356.4285714285713</v>
      </c>
      <c r="AS64">
        <f t="shared" si="6"/>
        <v>0.95355450236966821</v>
      </c>
    </row>
    <row r="66" spans="1:45" x14ac:dyDescent="0.25">
      <c r="A66" t="s">
        <v>49</v>
      </c>
      <c r="B66">
        <v>2000</v>
      </c>
      <c r="E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f>257/1.03</f>
        <v>249.51456310679612</v>
      </c>
      <c r="S66">
        <f>131/1.03</f>
        <v>127.18446601941747</v>
      </c>
      <c r="T66">
        <f>562/0.92</f>
        <v>610.86956521739125</v>
      </c>
      <c r="U66">
        <f>363/0.84</f>
        <v>432.14285714285717</v>
      </c>
      <c r="V66">
        <f>113/0.73</f>
        <v>154.79452054794521</v>
      </c>
      <c r="W66">
        <f>762/0.75</f>
        <v>1016</v>
      </c>
      <c r="AJ66">
        <f t="shared" si="3"/>
        <v>2590.505972034407</v>
      </c>
      <c r="AK66">
        <f t="shared" si="4"/>
        <v>1110.2168451576028</v>
      </c>
      <c r="AM66">
        <v>2017</v>
      </c>
      <c r="AP66">
        <v>856</v>
      </c>
      <c r="AR66">
        <f t="shared" si="5"/>
        <v>1966.2168451576028</v>
      </c>
      <c r="AS66">
        <f t="shared" si="6"/>
        <v>0.56464618736831795</v>
      </c>
    </row>
    <row r="68" spans="1:45" x14ac:dyDescent="0.25">
      <c r="A68" t="s">
        <v>50</v>
      </c>
      <c r="B68">
        <v>2010</v>
      </c>
      <c r="E68">
        <v>0</v>
      </c>
      <c r="Q68">
        <v>0</v>
      </c>
      <c r="R68">
        <v>39</v>
      </c>
      <c r="S68">
        <v>42</v>
      </c>
      <c r="T68">
        <v>0</v>
      </c>
      <c r="U68">
        <v>0</v>
      </c>
      <c r="V68">
        <v>0</v>
      </c>
      <c r="W68">
        <v>0</v>
      </c>
      <c r="AJ68">
        <f t="shared" ref="AJ68:AJ106" si="13">SUM(G68:W68)</f>
        <v>81</v>
      </c>
      <c r="AK68">
        <f t="shared" ref="AK68:AK106" si="14">AJ68*(3/7)</f>
        <v>34.714285714285715</v>
      </c>
      <c r="AM68">
        <v>2017</v>
      </c>
      <c r="AP68">
        <v>37</v>
      </c>
      <c r="AR68">
        <f t="shared" ref="AR68:AR106" si="15">AK68+AP68-E68</f>
        <v>71.714285714285722</v>
      </c>
      <c r="AS68">
        <f t="shared" ref="AS68:AS106" si="16">AK68/AR68</f>
        <v>0.48406374501992028</v>
      </c>
    </row>
    <row r="70" spans="1:45" x14ac:dyDescent="0.25">
      <c r="A70" t="s">
        <v>51</v>
      </c>
      <c r="B70">
        <v>2000</v>
      </c>
      <c r="E70">
        <v>6</v>
      </c>
      <c r="G70">
        <v>59</v>
      </c>
      <c r="H70">
        <v>37</v>
      </c>
      <c r="I70">
        <v>43</v>
      </c>
      <c r="J70">
        <v>76</v>
      </c>
      <c r="K70">
        <v>98</v>
      </c>
      <c r="L70">
        <v>110</v>
      </c>
      <c r="M70">
        <v>233</v>
      </c>
      <c r="N70">
        <v>325</v>
      </c>
      <c r="O70">
        <v>315</v>
      </c>
      <c r="P70">
        <v>281</v>
      </c>
      <c r="Q70">
        <v>304</v>
      </c>
      <c r="R70">
        <v>325</v>
      </c>
      <c r="S70">
        <v>303</v>
      </c>
      <c r="T70">
        <v>330</v>
      </c>
      <c r="U70">
        <v>353</v>
      </c>
      <c r="V70">
        <v>376</v>
      </c>
      <c r="W70">
        <v>389</v>
      </c>
      <c r="AJ70">
        <f t="shared" si="13"/>
        <v>3957</v>
      </c>
      <c r="AK70">
        <f t="shared" si="14"/>
        <v>1695.8571428571427</v>
      </c>
      <c r="AM70">
        <v>2017</v>
      </c>
      <c r="AP70">
        <v>239</v>
      </c>
      <c r="AR70">
        <f t="shared" si="15"/>
        <v>1928.8571428571427</v>
      </c>
      <c r="AS70">
        <f t="shared" si="16"/>
        <v>0.87920308102503331</v>
      </c>
    </row>
    <row r="72" spans="1:45" x14ac:dyDescent="0.25">
      <c r="A72" t="s">
        <v>52</v>
      </c>
      <c r="B72">
        <v>2005</v>
      </c>
      <c r="E72">
        <v>9</v>
      </c>
      <c r="L72">
        <v>49</v>
      </c>
      <c r="M72">
        <v>60</v>
      </c>
      <c r="N72">
        <v>78</v>
      </c>
      <c r="O72">
        <v>90</v>
      </c>
      <c r="P72">
        <v>107</v>
      </c>
      <c r="Q72">
        <v>71</v>
      </c>
      <c r="R72">
        <f>68.2*1.3</f>
        <v>88.660000000000011</v>
      </c>
      <c r="S72">
        <f>71.2*0.75</f>
        <v>53.400000000000006</v>
      </c>
      <c r="T72">
        <v>22</v>
      </c>
      <c r="U72">
        <v>32</v>
      </c>
      <c r="V72">
        <v>120</v>
      </c>
      <c r="W72">
        <v>144</v>
      </c>
      <c r="AJ72">
        <f t="shared" si="13"/>
        <v>915.06</v>
      </c>
      <c r="AK72">
        <f t="shared" si="14"/>
        <v>392.1685714285714</v>
      </c>
      <c r="AM72">
        <v>2017</v>
      </c>
      <c r="AP72">
        <v>27</v>
      </c>
      <c r="AR72">
        <f t="shared" si="15"/>
        <v>410.1685714285714</v>
      </c>
      <c r="AS72">
        <f t="shared" si="16"/>
        <v>0.9561156040373644</v>
      </c>
    </row>
    <row r="74" spans="1:45" x14ac:dyDescent="0.25">
      <c r="A74" t="s">
        <v>53</v>
      </c>
      <c r="B74">
        <v>2000</v>
      </c>
      <c r="E74">
        <v>968</v>
      </c>
      <c r="G74">
        <v>1303</v>
      </c>
      <c r="H74">
        <v>74</v>
      </c>
      <c r="I74">
        <v>83</v>
      </c>
      <c r="J74">
        <v>0</v>
      </c>
      <c r="K74">
        <v>0</v>
      </c>
      <c r="L74">
        <v>236</v>
      </c>
      <c r="M74">
        <v>194</v>
      </c>
      <c r="N74">
        <f>172.5*0.4+84.2</f>
        <v>153.19999999999999</v>
      </c>
      <c r="O74">
        <f>0.6*113.5+0.45*136.4</f>
        <v>129.47999999999999</v>
      </c>
      <c r="P74">
        <v>166</v>
      </c>
      <c r="Q74">
        <v>124</v>
      </c>
      <c r="R74">
        <v>0</v>
      </c>
      <c r="S74">
        <v>0</v>
      </c>
      <c r="T74">
        <v>0</v>
      </c>
      <c r="U74">
        <v>34</v>
      </c>
      <c r="V74">
        <v>0</v>
      </c>
      <c r="W74">
        <v>0</v>
      </c>
      <c r="AJ74">
        <f t="shared" si="13"/>
        <v>2496.6799999999998</v>
      </c>
      <c r="AK74">
        <f t="shared" si="14"/>
        <v>1070.0057142857142</v>
      </c>
      <c r="AM74">
        <v>2017</v>
      </c>
      <c r="AP74">
        <v>13</v>
      </c>
      <c r="AR74">
        <f t="shared" si="15"/>
        <v>115.00571428571425</v>
      </c>
      <c r="AS74">
        <f t="shared" si="16"/>
        <v>9.303935208188415</v>
      </c>
    </row>
    <row r="76" spans="1:45" x14ac:dyDescent="0.25">
      <c r="A76" t="s">
        <v>54</v>
      </c>
      <c r="B76">
        <v>2001</v>
      </c>
      <c r="E76">
        <v>1</v>
      </c>
      <c r="H76">
        <v>0</v>
      </c>
      <c r="I76">
        <v>0</v>
      </c>
      <c r="J76">
        <v>0</v>
      </c>
      <c r="K76">
        <v>26</v>
      </c>
      <c r="L76">
        <v>18.399999999999999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52</v>
      </c>
      <c r="AJ76">
        <f t="shared" si="13"/>
        <v>96.4</v>
      </c>
      <c r="AK76">
        <f t="shared" si="14"/>
        <v>41.314285714285717</v>
      </c>
      <c r="AM76">
        <v>2017</v>
      </c>
      <c r="AP76">
        <v>4</v>
      </c>
      <c r="AR76">
        <f t="shared" si="15"/>
        <v>44.314285714285717</v>
      </c>
      <c r="AS76">
        <f t="shared" si="16"/>
        <v>0.93230174081237915</v>
      </c>
    </row>
    <row r="78" spans="1:45" x14ac:dyDescent="0.25">
      <c r="A78" t="s">
        <v>55</v>
      </c>
      <c r="B78">
        <v>2008</v>
      </c>
      <c r="E78">
        <v>25</v>
      </c>
      <c r="O78">
        <v>0</v>
      </c>
      <c r="P78">
        <v>13</v>
      </c>
      <c r="Q78">
        <v>34</v>
      </c>
      <c r="R78">
        <v>37</v>
      </c>
      <c r="S78">
        <v>48</v>
      </c>
      <c r="T78">
        <v>63</v>
      </c>
      <c r="U78">
        <v>85</v>
      </c>
      <c r="V78">
        <v>101</v>
      </c>
      <c r="W78">
        <v>113</v>
      </c>
      <c r="AJ78">
        <f t="shared" si="13"/>
        <v>494</v>
      </c>
      <c r="AK78">
        <f t="shared" si="14"/>
        <v>211.71428571428569</v>
      </c>
      <c r="AM78">
        <v>2017</v>
      </c>
      <c r="AP78">
        <v>286</v>
      </c>
      <c r="AR78">
        <f t="shared" si="15"/>
        <v>472.71428571428567</v>
      </c>
      <c r="AS78">
        <f t="shared" si="16"/>
        <v>0.44786944696282865</v>
      </c>
    </row>
    <row r="80" spans="1:45" x14ac:dyDescent="0.25">
      <c r="A80" t="s">
        <v>56</v>
      </c>
      <c r="B80">
        <v>2000</v>
      </c>
      <c r="E80">
        <v>174</v>
      </c>
      <c r="G80">
        <v>723</v>
      </c>
      <c r="H80">
        <v>242</v>
      </c>
      <c r="I80">
        <v>281</v>
      </c>
      <c r="J80">
        <v>305</v>
      </c>
      <c r="K80">
        <v>353</v>
      </c>
      <c r="L80">
        <v>402</v>
      </c>
      <c r="M80">
        <v>513</v>
      </c>
      <c r="N80">
        <v>640</v>
      </c>
      <c r="O80">
        <v>439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197</v>
      </c>
      <c r="AJ80">
        <f t="shared" si="13"/>
        <v>4095</v>
      </c>
      <c r="AK80">
        <f t="shared" si="14"/>
        <v>1755</v>
      </c>
      <c r="AM80">
        <v>2017</v>
      </c>
      <c r="AP80">
        <v>0</v>
      </c>
      <c r="AR80">
        <f t="shared" si="15"/>
        <v>1581</v>
      </c>
      <c r="AS80">
        <f t="shared" si="16"/>
        <v>1.110056925996205</v>
      </c>
    </row>
    <row r="82" spans="1:45" x14ac:dyDescent="0.25">
      <c r="A82" t="s">
        <v>57</v>
      </c>
      <c r="B82">
        <v>2002</v>
      </c>
      <c r="E82">
        <v>0</v>
      </c>
      <c r="I82">
        <v>8</v>
      </c>
      <c r="J82">
        <v>21</v>
      </c>
      <c r="K82">
        <v>25</v>
      </c>
      <c r="L82">
        <v>52</v>
      </c>
      <c r="M82">
        <v>62</v>
      </c>
      <c r="N82">
        <v>71</v>
      </c>
      <c r="O82">
        <v>77</v>
      </c>
      <c r="P82">
        <v>92</v>
      </c>
      <c r="Q82">
        <v>112</v>
      </c>
      <c r="R82">
        <v>129</v>
      </c>
      <c r="S82">
        <v>144</v>
      </c>
      <c r="T82">
        <v>166</v>
      </c>
      <c r="U82">
        <v>199</v>
      </c>
      <c r="V82">
        <v>230</v>
      </c>
      <c r="W82">
        <v>265</v>
      </c>
      <c r="AJ82">
        <f t="shared" si="13"/>
        <v>1653</v>
      </c>
      <c r="AK82">
        <f t="shared" si="14"/>
        <v>708.42857142857144</v>
      </c>
      <c r="AM82">
        <v>2017</v>
      </c>
      <c r="AP82">
        <v>515</v>
      </c>
      <c r="AR82">
        <f t="shared" si="15"/>
        <v>1223.4285714285716</v>
      </c>
      <c r="AS82">
        <f t="shared" si="16"/>
        <v>0.57905184493227457</v>
      </c>
    </row>
    <row r="84" spans="1:45" x14ac:dyDescent="0.25">
      <c r="A84" t="s">
        <v>58</v>
      </c>
      <c r="B84">
        <v>2000</v>
      </c>
      <c r="E84">
        <v>5</v>
      </c>
      <c r="G84">
        <v>28</v>
      </c>
      <c r="H84">
        <v>40</v>
      </c>
      <c r="I84">
        <v>63</v>
      </c>
      <c r="J84">
        <v>71</v>
      </c>
      <c r="K84">
        <v>90</v>
      </c>
      <c r="L84">
        <v>108</v>
      </c>
      <c r="M84">
        <v>127</v>
      </c>
      <c r="N84">
        <v>162</v>
      </c>
      <c r="O84">
        <f>107.203+(84.452*0.6)</f>
        <v>157.8742</v>
      </c>
      <c r="P84">
        <f>229.174*0.35</f>
        <v>80.210899999999995</v>
      </c>
      <c r="Q84">
        <f>(135.95*0.35)+(93.224*0.28)</f>
        <v>73.685220000000001</v>
      </c>
      <c r="R84">
        <f>(136.489*0.28)+(93.593*0.35)</f>
        <v>70.974469999999997</v>
      </c>
      <c r="S84">
        <f>236.466*0.45</f>
        <v>106.4097</v>
      </c>
      <c r="T84">
        <f>256.3*0.45</f>
        <v>115.33500000000001</v>
      </c>
      <c r="U84">
        <f>277*0.55</f>
        <v>152.35000000000002</v>
      </c>
      <c r="V84">
        <f>(164.908*0.55)+(124*0.3)</f>
        <v>127.89939999999999</v>
      </c>
      <c r="W84">
        <f>(182.963*0.3)+(129.385*0.2)</f>
        <v>80.765900000000002</v>
      </c>
      <c r="AJ84">
        <f t="shared" si="13"/>
        <v>1654.50479</v>
      </c>
      <c r="AK84">
        <f t="shared" si="14"/>
        <v>709.07348142857143</v>
      </c>
      <c r="AM84">
        <v>2017</v>
      </c>
      <c r="AP84">
        <v>5</v>
      </c>
      <c r="AR84">
        <f t="shared" si="15"/>
        <v>709.07348142857143</v>
      </c>
      <c r="AS84">
        <f t="shared" si="16"/>
        <v>1</v>
      </c>
    </row>
    <row r="86" spans="1:45" x14ac:dyDescent="0.25">
      <c r="A86" t="s">
        <v>59</v>
      </c>
    </row>
    <row r="88" spans="1:45" x14ac:dyDescent="0.25">
      <c r="A88" t="s">
        <v>60</v>
      </c>
      <c r="B88">
        <v>2011</v>
      </c>
      <c r="E88">
        <v>17</v>
      </c>
      <c r="R88">
        <v>0</v>
      </c>
      <c r="S88">
        <v>0</v>
      </c>
      <c r="T88">
        <f>6*(7/3)</f>
        <v>14</v>
      </c>
      <c r="U88">
        <v>0</v>
      </c>
      <c r="V88">
        <f>11*(7/3)</f>
        <v>25.666666666666668</v>
      </c>
      <c r="W88">
        <f>21*(7/3)</f>
        <v>49</v>
      </c>
      <c r="AJ88">
        <f t="shared" si="13"/>
        <v>88.666666666666671</v>
      </c>
      <c r="AK88">
        <f t="shared" si="14"/>
        <v>38</v>
      </c>
      <c r="AM88">
        <v>2017</v>
      </c>
      <c r="AP88">
        <v>33</v>
      </c>
      <c r="AR88">
        <f t="shared" si="15"/>
        <v>54</v>
      </c>
      <c r="AS88">
        <f t="shared" si="16"/>
        <v>0.70370370370370372</v>
      </c>
    </row>
    <row r="90" spans="1:45" x14ac:dyDescent="0.25">
      <c r="A90" t="s">
        <v>61</v>
      </c>
      <c r="B90">
        <v>2010</v>
      </c>
      <c r="E90">
        <v>10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AJ90">
        <f t="shared" si="13"/>
        <v>0</v>
      </c>
      <c r="AK90">
        <f t="shared" si="14"/>
        <v>0</v>
      </c>
      <c r="AM90">
        <v>2017</v>
      </c>
      <c r="AP90">
        <v>14</v>
      </c>
      <c r="AR90">
        <f t="shared" si="15"/>
        <v>4</v>
      </c>
      <c r="AS90">
        <f t="shared" si="16"/>
        <v>0</v>
      </c>
    </row>
    <row r="92" spans="1:45" x14ac:dyDescent="0.25">
      <c r="A92" t="s">
        <v>62</v>
      </c>
      <c r="B92">
        <v>2000</v>
      </c>
      <c r="E92">
        <f>53.13*(34/66)</f>
        <v>27.37</v>
      </c>
      <c r="G92">
        <v>5</v>
      </c>
      <c r="H92">
        <v>10</v>
      </c>
      <c r="I92">
        <v>36</v>
      </c>
      <c r="J92">
        <v>37</v>
      </c>
      <c r="K92">
        <v>32</v>
      </c>
      <c r="L92">
        <v>0</v>
      </c>
      <c r="M92">
        <v>0</v>
      </c>
      <c r="N92">
        <v>11</v>
      </c>
      <c r="O92">
        <v>43</v>
      </c>
      <c r="P92">
        <v>69</v>
      </c>
      <c r="Q92">
        <v>93</v>
      </c>
      <c r="R92">
        <v>93</v>
      </c>
      <c r="S92">
        <v>62</v>
      </c>
      <c r="T92">
        <v>31</v>
      </c>
      <c r="U92">
        <v>33</v>
      </c>
      <c r="V92">
        <v>110</v>
      </c>
      <c r="W92">
        <v>46</v>
      </c>
      <c r="AJ92">
        <f t="shared" si="13"/>
        <v>711</v>
      </c>
      <c r="AK92">
        <f t="shared" si="14"/>
        <v>304.71428571428572</v>
      </c>
      <c r="AM92">
        <v>2017</v>
      </c>
      <c r="AP92">
        <f>20.47/0.7692</f>
        <v>26.612064482579303</v>
      </c>
      <c r="AR92">
        <f t="shared" si="15"/>
        <v>303.956350196865</v>
      </c>
      <c r="AS92">
        <f t="shared" si="16"/>
        <v>1.002493566977396</v>
      </c>
    </row>
    <row r="94" spans="1:45" x14ac:dyDescent="0.25">
      <c r="A94" t="s">
        <v>63</v>
      </c>
      <c r="B94">
        <v>2003</v>
      </c>
      <c r="E94">
        <v>106</v>
      </c>
      <c r="J94">
        <v>242</v>
      </c>
      <c r="K94">
        <v>343</v>
      </c>
      <c r="L94">
        <v>453</v>
      </c>
      <c r="M94">
        <v>321</v>
      </c>
      <c r="N94">
        <v>355</v>
      </c>
      <c r="O94">
        <v>252</v>
      </c>
      <c r="P94">
        <v>0</v>
      </c>
      <c r="Q94">
        <v>128</v>
      </c>
      <c r="R94">
        <v>0</v>
      </c>
      <c r="S94">
        <v>0</v>
      </c>
      <c r="T94">
        <v>0</v>
      </c>
      <c r="U94">
        <v>17</v>
      </c>
      <c r="V94">
        <v>34</v>
      </c>
      <c r="W94">
        <v>40</v>
      </c>
      <c r="AJ94">
        <f t="shared" si="13"/>
        <v>2185</v>
      </c>
      <c r="AK94">
        <f t="shared" si="14"/>
        <v>936.42857142857133</v>
      </c>
      <c r="AM94">
        <v>2017</v>
      </c>
      <c r="AP94">
        <v>14</v>
      </c>
      <c r="AR94">
        <f t="shared" si="15"/>
        <v>844.42857142857133</v>
      </c>
      <c r="AS94">
        <f t="shared" si="16"/>
        <v>1.1089494163424125</v>
      </c>
    </row>
    <row r="96" spans="1:45" x14ac:dyDescent="0.25">
      <c r="A96" t="s">
        <v>64</v>
      </c>
      <c r="B96">
        <v>2000</v>
      </c>
      <c r="E96">
        <v>-5</v>
      </c>
      <c r="G96">
        <v>190</v>
      </c>
      <c r="H96">
        <v>235</v>
      </c>
      <c r="I96">
        <v>240</v>
      </c>
      <c r="J96">
        <v>270</v>
      </c>
      <c r="K96">
        <v>393</v>
      </c>
      <c r="L96">
        <v>446</v>
      </c>
      <c r="M96">
        <v>483</v>
      </c>
      <c r="N96">
        <v>493</v>
      </c>
      <c r="O96">
        <v>433</v>
      </c>
      <c r="P96">
        <v>363</v>
      </c>
      <c r="Q96">
        <v>318</v>
      </c>
      <c r="R96">
        <v>223</v>
      </c>
      <c r="S96">
        <v>161</v>
      </c>
      <c r="T96">
        <v>120</v>
      </c>
      <c r="U96">
        <v>367</v>
      </c>
      <c r="V96">
        <v>183</v>
      </c>
      <c r="W96">
        <v>204</v>
      </c>
      <c r="AJ96">
        <f t="shared" si="13"/>
        <v>5122</v>
      </c>
      <c r="AK96">
        <f t="shared" si="14"/>
        <v>2195.1428571428569</v>
      </c>
      <c r="AM96">
        <v>2017</v>
      </c>
      <c r="AP96">
        <v>104</v>
      </c>
      <c r="AR96">
        <f t="shared" si="15"/>
        <v>2304.1428571428569</v>
      </c>
      <c r="AS96">
        <f t="shared" si="16"/>
        <v>0.95269390538781074</v>
      </c>
    </row>
    <row r="98" spans="1:45" x14ac:dyDescent="0.25">
      <c r="A98" t="s">
        <v>65</v>
      </c>
      <c r="B98">
        <v>2007</v>
      </c>
      <c r="E98">
        <v>49</v>
      </c>
      <c r="N98">
        <f>172.122*1.4</f>
        <v>240.9708</v>
      </c>
      <c r="O98">
        <f>(136.511*0.6)+80</f>
        <v>161.9066</v>
      </c>
      <c r="P98">
        <v>168</v>
      </c>
      <c r="Q98">
        <v>168</v>
      </c>
      <c r="R98">
        <v>136</v>
      </c>
      <c r="S98">
        <v>135</v>
      </c>
      <c r="T98">
        <v>135</v>
      </c>
      <c r="U98">
        <v>135</v>
      </c>
      <c r="V98">
        <f>378.765*0.5</f>
        <v>189.38249999999999</v>
      </c>
      <c r="W98">
        <f>(287.716*0.7)+(823.085*0.6)</f>
        <v>695.25220000000002</v>
      </c>
      <c r="AJ98">
        <f t="shared" si="13"/>
        <v>2164.5120999999999</v>
      </c>
      <c r="AK98">
        <f t="shared" si="14"/>
        <v>927.64804285714274</v>
      </c>
      <c r="AM98">
        <v>2017</v>
      </c>
      <c r="AP98">
        <v>91</v>
      </c>
      <c r="AR98">
        <f t="shared" si="15"/>
        <v>969.64804285714274</v>
      </c>
      <c r="AS98">
        <f t="shared" si="16"/>
        <v>0.95668531452273775</v>
      </c>
    </row>
    <row r="100" spans="1:45" x14ac:dyDescent="0.25">
      <c r="A100" t="s">
        <v>67</v>
      </c>
    </row>
    <row r="102" spans="1:45" x14ac:dyDescent="0.25">
      <c r="A102" t="s">
        <v>66</v>
      </c>
      <c r="B102">
        <v>2012</v>
      </c>
      <c r="E102">
        <v>8</v>
      </c>
      <c r="S102">
        <v>61</v>
      </c>
      <c r="T102">
        <f>(171*0.8)+(175*0.9)</f>
        <v>294.3</v>
      </c>
      <c r="U102">
        <v>0</v>
      </c>
      <c r="V102">
        <f>(234.4*0.7)+(294.9*0.3)</f>
        <v>252.54999999999995</v>
      </c>
      <c r="W102">
        <f>551.9*0.7</f>
        <v>386.33</v>
      </c>
      <c r="AJ102">
        <f t="shared" si="13"/>
        <v>994.17999999999984</v>
      </c>
      <c r="AK102">
        <f t="shared" si="14"/>
        <v>426.07714285714275</v>
      </c>
      <c r="AM102">
        <v>2017</v>
      </c>
      <c r="AP102">
        <v>3</v>
      </c>
      <c r="AR102">
        <f t="shared" si="15"/>
        <v>421.07714285714275</v>
      </c>
      <c r="AS102">
        <f t="shared" si="16"/>
        <v>1.0118743087455979</v>
      </c>
    </row>
    <row r="104" spans="1:45" x14ac:dyDescent="0.25">
      <c r="A104" t="s">
        <v>68</v>
      </c>
      <c r="B104">
        <v>2000</v>
      </c>
      <c r="E104">
        <v>0</v>
      </c>
      <c r="G104">
        <v>0</v>
      </c>
      <c r="H104">
        <v>0</v>
      </c>
      <c r="I104">
        <v>11</v>
      </c>
      <c r="J104">
        <v>76</v>
      </c>
      <c r="K104">
        <v>108</v>
      </c>
      <c r="L104">
        <v>170</v>
      </c>
      <c r="M104">
        <v>257</v>
      </c>
      <c r="N104">
        <v>186</v>
      </c>
      <c r="O104">
        <v>0</v>
      </c>
      <c r="P104">
        <v>149</v>
      </c>
      <c r="Q104">
        <v>127</v>
      </c>
      <c r="R104">
        <v>121</v>
      </c>
      <c r="S104">
        <v>108</v>
      </c>
      <c r="T104">
        <v>100</v>
      </c>
      <c r="U104">
        <v>262</v>
      </c>
      <c r="V104">
        <v>319</v>
      </c>
      <c r="W104">
        <v>292</v>
      </c>
      <c r="AJ104">
        <f t="shared" si="13"/>
        <v>2286</v>
      </c>
      <c r="AK104">
        <f t="shared" si="14"/>
        <v>979.71428571428567</v>
      </c>
      <c r="AM104">
        <v>2017</v>
      </c>
      <c r="AP104">
        <v>936</v>
      </c>
      <c r="AR104">
        <f t="shared" si="15"/>
        <v>1915.7142857142858</v>
      </c>
      <c r="AS104">
        <f t="shared" si="16"/>
        <v>0.51140939597315427</v>
      </c>
    </row>
    <row r="106" spans="1:45" x14ac:dyDescent="0.25">
      <c r="A106" t="s">
        <v>69</v>
      </c>
      <c r="B106">
        <v>2015</v>
      </c>
      <c r="E106">
        <v>42</v>
      </c>
      <c r="V106">
        <v>284</v>
      </c>
      <c r="W106">
        <v>310</v>
      </c>
      <c r="AJ106">
        <f t="shared" si="13"/>
        <v>594</v>
      </c>
      <c r="AK106">
        <f t="shared" si="14"/>
        <v>254.57142857142856</v>
      </c>
      <c r="AM106">
        <v>2017</v>
      </c>
      <c r="AP106">
        <v>43</v>
      </c>
      <c r="AR106">
        <f t="shared" si="15"/>
        <v>255.57142857142856</v>
      </c>
      <c r="AS106">
        <f t="shared" si="16"/>
        <v>0.99608719955282277</v>
      </c>
    </row>
    <row r="109" spans="1:45" x14ac:dyDescent="0.25">
      <c r="AK109">
        <f>SUM(AK6:AK106)</f>
        <v>235969.98316762841</v>
      </c>
      <c r="AR109">
        <f>SUM(AR6:AR106)</f>
        <v>265770.11305020837</v>
      </c>
      <c r="AS109">
        <f>AK109/AR109</f>
        <v>0.88787253186384341</v>
      </c>
    </row>
    <row r="111" spans="1:45" x14ac:dyDescent="0.25">
      <c r="AK111">
        <f>SUM(AK46:AK106)</f>
        <v>20104.246940871886</v>
      </c>
      <c r="AR111">
        <f>SUM(AR46:AR106)</f>
        <v>21550.699509774644</v>
      </c>
      <c r="AS111">
        <f>AK111/AR111</f>
        <v>0.9328814098007957</v>
      </c>
    </row>
    <row r="113" spans="37:45" x14ac:dyDescent="0.25">
      <c r="AK113">
        <f>SUM(AK6:AK44)</f>
        <v>215865.73622675645</v>
      </c>
      <c r="AR113">
        <f>SUM(AR6:AR44)</f>
        <v>244219.41354043377</v>
      </c>
      <c r="AS113">
        <f>AK113/AR113</f>
        <v>0.8839008050071212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1"/>
  <sheetViews>
    <sheetView workbookViewId="0">
      <selection activeCell="D3" sqref="D3"/>
    </sheetView>
  </sheetViews>
  <sheetFormatPr defaultRowHeight="15" x14ac:dyDescent="0.25"/>
  <sheetData>
    <row r="3" spans="1:1" x14ac:dyDescent="0.25">
      <c r="A3" t="s">
        <v>7</v>
      </c>
    </row>
    <row r="5" spans="1:1" x14ac:dyDescent="0.25">
      <c r="A5" t="s">
        <v>18</v>
      </c>
    </row>
    <row r="7" spans="1:1" x14ac:dyDescent="0.25">
      <c r="A7" t="s">
        <v>12</v>
      </c>
    </row>
    <row r="9" spans="1:1" x14ac:dyDescent="0.25">
      <c r="A9" t="s">
        <v>15</v>
      </c>
    </row>
    <row r="11" spans="1:1" x14ac:dyDescent="0.25">
      <c r="A11" t="s">
        <v>34</v>
      </c>
    </row>
    <row r="13" spans="1:1" x14ac:dyDescent="0.25">
      <c r="A13" t="s">
        <v>19</v>
      </c>
    </row>
    <row r="15" spans="1:1" x14ac:dyDescent="0.25">
      <c r="A15" t="s">
        <v>16</v>
      </c>
    </row>
    <row r="17" spans="1:1" x14ac:dyDescent="0.25">
      <c r="A17" t="s">
        <v>20</v>
      </c>
    </row>
    <row r="19" spans="1:1" x14ac:dyDescent="0.25">
      <c r="A19" t="s">
        <v>17</v>
      </c>
    </row>
    <row r="21" spans="1:1" x14ac:dyDescent="0.25">
      <c r="A21" t="s">
        <v>21</v>
      </c>
    </row>
    <row r="23" spans="1:1" x14ac:dyDescent="0.25">
      <c r="A23" t="s">
        <v>22</v>
      </c>
    </row>
    <row r="25" spans="1:1" x14ac:dyDescent="0.25">
      <c r="A25" t="s">
        <v>33</v>
      </c>
    </row>
    <row r="27" spans="1:1" x14ac:dyDescent="0.25">
      <c r="A27" t="s">
        <v>23</v>
      </c>
    </row>
    <row r="29" spans="1:1" x14ac:dyDescent="0.25">
      <c r="A29" t="s">
        <v>24</v>
      </c>
    </row>
    <row r="31" spans="1:1" x14ac:dyDescent="0.25">
      <c r="A31" t="s">
        <v>25</v>
      </c>
    </row>
    <row r="33" spans="1:1" x14ac:dyDescent="0.25">
      <c r="A33" t="s">
        <v>26</v>
      </c>
    </row>
    <row r="35" spans="1:1" x14ac:dyDescent="0.25">
      <c r="A35" t="s">
        <v>27</v>
      </c>
    </row>
    <row r="37" spans="1:1" x14ac:dyDescent="0.25">
      <c r="A37" t="s">
        <v>28</v>
      </c>
    </row>
    <row r="39" spans="1:1" x14ac:dyDescent="0.25">
      <c r="A39" t="s">
        <v>29</v>
      </c>
    </row>
    <row r="41" spans="1:1" x14ac:dyDescent="0.25">
      <c r="A4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Machado, Anthony</cp:lastModifiedBy>
  <cp:lastPrinted>2018-05-27T22:12:21Z</cp:lastPrinted>
  <dcterms:created xsi:type="dcterms:W3CDTF">2018-05-09T23:30:26Z</dcterms:created>
  <dcterms:modified xsi:type="dcterms:W3CDTF">2018-12-05T00:07:44Z</dcterms:modified>
</cp:coreProperties>
</file>