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ru\Work Folders\Desktop\"/>
    </mc:Choice>
  </mc:AlternateContent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93" i="1" l="1"/>
  <c r="C93" i="1"/>
  <c r="B93" i="1"/>
  <c r="S10" i="1"/>
  <c r="I10" i="1"/>
  <c r="H10" i="1"/>
  <c r="G10" i="1"/>
  <c r="AW7" i="1" l="1"/>
  <c r="AW9" i="1"/>
  <c r="AW10" i="1"/>
  <c r="AW11" i="1"/>
  <c r="AW12" i="1"/>
  <c r="AW13" i="1"/>
  <c r="AW15" i="1"/>
  <c r="AW16" i="1"/>
  <c r="AW17" i="1"/>
  <c r="AW18" i="1"/>
  <c r="AW19" i="1"/>
  <c r="AW20" i="1"/>
  <c r="AW21" i="1"/>
  <c r="AW22" i="1"/>
  <c r="AW23" i="1"/>
  <c r="AW25" i="1"/>
  <c r="AW27" i="1"/>
  <c r="AW28" i="1"/>
  <c r="AW29" i="1"/>
  <c r="AW30" i="1"/>
  <c r="AW31" i="1"/>
  <c r="AW32" i="1"/>
  <c r="AW33" i="1"/>
  <c r="AW34" i="1"/>
  <c r="AW35" i="1"/>
  <c r="AW37" i="1"/>
  <c r="AW39" i="1"/>
  <c r="AW40" i="1"/>
  <c r="AW41" i="1"/>
  <c r="AW42" i="1"/>
  <c r="AW43" i="1"/>
  <c r="AW44" i="1"/>
  <c r="W48" i="1" l="1"/>
  <c r="V48" i="1"/>
  <c r="E34" i="1" l="1"/>
  <c r="W38" i="1"/>
  <c r="V38" i="1"/>
  <c r="U38" i="1"/>
  <c r="T38" i="1"/>
  <c r="S38" i="1"/>
  <c r="R38" i="1"/>
  <c r="Q38" i="1"/>
  <c r="P38" i="1"/>
  <c r="O38" i="1"/>
  <c r="N38" i="1"/>
  <c r="G8" i="1"/>
  <c r="D84" i="1" l="1"/>
  <c r="D87" i="1"/>
  <c r="D86" i="1"/>
  <c r="D85" i="1"/>
  <c r="H85" i="1"/>
  <c r="H84" i="1"/>
  <c r="H89" i="1" s="1"/>
  <c r="D89" i="1"/>
  <c r="M78" i="1"/>
  <c r="M77" i="1"/>
  <c r="L77" i="1"/>
  <c r="L80" i="1" s="1"/>
  <c r="L78" i="1"/>
  <c r="E78" i="1"/>
  <c r="E77" i="1"/>
  <c r="E80" i="1" s="1"/>
  <c r="E76" i="1"/>
  <c r="E75" i="1"/>
  <c r="O73" i="1"/>
  <c r="M63" i="1"/>
  <c r="M56" i="1"/>
  <c r="L68" i="1"/>
  <c r="M68" i="1" s="1"/>
  <c r="L66" i="1"/>
  <c r="M66" i="1" s="1"/>
  <c r="L63" i="1"/>
  <c r="L62" i="1"/>
  <c r="M62" i="1" s="1"/>
  <c r="L58" i="1"/>
  <c r="M58" i="1" s="1"/>
  <c r="L57" i="1"/>
  <c r="M57" i="1" s="1"/>
  <c r="M70" i="1" s="1"/>
  <c r="L56" i="1"/>
  <c r="F54" i="1"/>
  <c r="F59" i="1"/>
  <c r="E63" i="1"/>
  <c r="F63" i="1" s="1"/>
  <c r="E62" i="1"/>
  <c r="F62" i="1" s="1"/>
  <c r="E59" i="1"/>
  <c r="E58" i="1"/>
  <c r="F58" i="1" s="1"/>
  <c r="E57" i="1"/>
  <c r="F57" i="1" s="1"/>
  <c r="E56" i="1"/>
  <c r="F56" i="1" s="1"/>
  <c r="E54" i="1"/>
  <c r="E53" i="1"/>
  <c r="F53" i="1" s="1"/>
  <c r="G70" i="1"/>
  <c r="H70" i="1"/>
  <c r="I70" i="1"/>
  <c r="J70" i="1"/>
  <c r="C70" i="1"/>
  <c r="F70" i="1" l="1"/>
  <c r="O70" i="1" s="1"/>
  <c r="J89" i="1"/>
  <c r="J90" i="1" s="1"/>
  <c r="T8" i="1" l="1"/>
  <c r="AJ44" i="1"/>
  <c r="Y44" i="1"/>
  <c r="W42" i="1"/>
  <c r="V42" i="1"/>
  <c r="U42" i="1"/>
  <c r="T42" i="1"/>
  <c r="AJ42" i="1" s="1"/>
  <c r="AK42" i="1" s="1"/>
  <c r="AO40" i="1"/>
  <c r="AP40" i="1" s="1"/>
  <c r="AK40" i="1"/>
  <c r="AJ40" i="1"/>
  <c r="V40" i="1"/>
  <c r="Y40" i="1"/>
  <c r="AP38" i="1"/>
  <c r="AO38" i="1"/>
  <c r="W36" i="1"/>
  <c r="AJ34" i="1"/>
  <c r="AK34" i="1" s="1"/>
  <c r="AR34" i="1" s="1"/>
  <c r="AS34" i="1" s="1"/>
  <c r="Y34" i="1"/>
  <c r="AJ32" i="1"/>
  <c r="AK32" i="1" s="1"/>
  <c r="Y32" i="1"/>
  <c r="AR42" i="1" l="1"/>
  <c r="AS42" i="1"/>
  <c r="AS32" i="1"/>
  <c r="AR32" i="1"/>
  <c r="AS40" i="1"/>
  <c r="AR40" i="1"/>
  <c r="AK44" i="1"/>
  <c r="W30" i="1"/>
  <c r="V30" i="1"/>
  <c r="U30" i="1"/>
  <c r="T30" i="1"/>
  <c r="AJ30" i="1" s="1"/>
  <c r="AK30" i="1" s="1"/>
  <c r="AJ28" i="1"/>
  <c r="AK28" i="1" s="1"/>
  <c r="Y28" i="1"/>
  <c r="AJ22" i="1"/>
  <c r="AK22" i="1" s="1"/>
  <c r="Y22" i="1"/>
  <c r="AP24" i="1"/>
  <c r="AO24" i="1"/>
  <c r="W24" i="1"/>
  <c r="V24" i="1"/>
  <c r="U24" i="1"/>
  <c r="T24" i="1"/>
  <c r="AJ20" i="1"/>
  <c r="AK20" i="1" s="1"/>
  <c r="Y20" i="1"/>
  <c r="AJ18" i="1"/>
  <c r="AK18" i="1" s="1"/>
  <c r="Y18" i="1"/>
  <c r="AN26" i="1"/>
  <c r="AP26" i="1"/>
  <c r="AO26" i="1"/>
  <c r="W26" i="1"/>
  <c r="V26" i="1"/>
  <c r="U26" i="1"/>
  <c r="T26" i="1"/>
  <c r="AJ16" i="1"/>
  <c r="AK16" i="1" s="1"/>
  <c r="Y16" i="1"/>
  <c r="AR20" i="1" l="1"/>
  <c r="AS20" i="1"/>
  <c r="AR28" i="1"/>
  <c r="AS28" i="1" s="1"/>
  <c r="AR16" i="1"/>
  <c r="AS16" i="1" s="1"/>
  <c r="AR18" i="1"/>
  <c r="AS18" i="1" s="1"/>
  <c r="AR30" i="1"/>
  <c r="AS30" i="1"/>
  <c r="AR44" i="1"/>
  <c r="AS44" i="1" s="1"/>
  <c r="Y12" i="1"/>
  <c r="Y10" i="1"/>
  <c r="AJ12" i="1"/>
  <c r="AK12" i="1" s="1"/>
  <c r="AJ10" i="1"/>
  <c r="AK10" i="1" s="1"/>
  <c r="AP8" i="1"/>
  <c r="AO8" i="1"/>
  <c r="W8" i="1"/>
  <c r="V8" i="1"/>
  <c r="U8" i="1"/>
  <c r="W6" i="1"/>
  <c r="W46" i="1" s="1"/>
  <c r="V6" i="1"/>
  <c r="V46" i="1" s="1"/>
  <c r="V50" i="1" s="1"/>
  <c r="U6" i="1"/>
  <c r="T6" i="1"/>
  <c r="AR10" i="1" l="1"/>
  <c r="AS10" i="1" s="1"/>
  <c r="AR12" i="1"/>
  <c r="AS12" i="1" s="1"/>
  <c r="Y9" i="1" l="1"/>
  <c r="Y11" i="1"/>
  <c r="Y13" i="1"/>
  <c r="Y15" i="1"/>
  <c r="Y17" i="1"/>
  <c r="Y19" i="1"/>
  <c r="Y21" i="1"/>
  <c r="Y25" i="1"/>
  <c r="Y27" i="1"/>
  <c r="Y29" i="1"/>
  <c r="Y30" i="1"/>
  <c r="Y31" i="1"/>
  <c r="Y33" i="1"/>
  <c r="Y35" i="1"/>
  <c r="Y42" i="1"/>
  <c r="Z44" i="1" l="1"/>
  <c r="AG44" i="1" l="1"/>
  <c r="E38" i="1"/>
  <c r="D38" i="1"/>
  <c r="Z42" i="1"/>
  <c r="Z40" i="1"/>
  <c r="AD38" i="1"/>
  <c r="AE38" i="1" s="1"/>
  <c r="M38" i="1"/>
  <c r="Z38" i="1" s="1"/>
  <c r="P36" i="1"/>
  <c r="Q36" i="1"/>
  <c r="Z36" i="1" s="1"/>
  <c r="R36" i="1"/>
  <c r="S36" i="1"/>
  <c r="AU40" i="1" l="1"/>
  <c r="AG40" i="1"/>
  <c r="AH40" i="1" s="1"/>
  <c r="AU42" i="1"/>
  <c r="AW38" i="1"/>
  <c r="AJ38" i="1"/>
  <c r="AK38" i="1" s="1"/>
  <c r="AR38" i="1" s="1"/>
  <c r="AS38" i="1" s="1"/>
  <c r="Y38" i="1"/>
  <c r="AW36" i="1"/>
  <c r="AJ36" i="1"/>
  <c r="AK36" i="1" s="1"/>
  <c r="AR36" i="1" s="1"/>
  <c r="AS36" i="1" s="1"/>
  <c r="Y36" i="1"/>
  <c r="AG42" i="1"/>
  <c r="AH42" i="1" s="1"/>
  <c r="AH44" i="1"/>
  <c r="AG38" i="1"/>
  <c r="AH38" i="1" s="1"/>
  <c r="AG36" i="1"/>
  <c r="AH36" i="1" s="1"/>
  <c r="Z34" i="1"/>
  <c r="AG34" i="1" s="1"/>
  <c r="AG32" i="1"/>
  <c r="AH32" i="1" s="1"/>
  <c r="Z32" i="1"/>
  <c r="Z30" i="1"/>
  <c r="AG30" i="1" s="1"/>
  <c r="AG28" i="1"/>
  <c r="Z28" i="1"/>
  <c r="O24" i="1"/>
  <c r="Q24" i="1"/>
  <c r="AE24" i="1"/>
  <c r="AD24" i="1"/>
  <c r="Z24" i="1"/>
  <c r="S24" i="1"/>
  <c r="R24" i="1"/>
  <c r="P24" i="1"/>
  <c r="AU28" i="1" l="1"/>
  <c r="AW24" i="1"/>
  <c r="AJ24" i="1"/>
  <c r="AK24" i="1" s="1"/>
  <c r="Y24" i="1"/>
  <c r="AH28" i="1"/>
  <c r="AH34" i="1"/>
  <c r="AU34" i="1"/>
  <c r="AU30" i="1"/>
  <c r="AH30" i="1"/>
  <c r="AU38" i="1"/>
  <c r="AU36" i="1"/>
  <c r="AH24" i="1"/>
  <c r="AG24" i="1"/>
  <c r="Z22" i="1"/>
  <c r="AG22" i="1" s="1"/>
  <c r="AH22" i="1" s="1"/>
  <c r="E22" i="1"/>
  <c r="Z20" i="1"/>
  <c r="Z18" i="1"/>
  <c r="AG18" i="1" s="1"/>
  <c r="AH18" i="1" s="1"/>
  <c r="Z16" i="1"/>
  <c r="M14" i="1"/>
  <c r="L14" i="1"/>
  <c r="K14" i="1"/>
  <c r="I14" i="1"/>
  <c r="H14" i="1"/>
  <c r="AG20" i="1" l="1"/>
  <c r="AH20" i="1" s="1"/>
  <c r="AU20" i="1"/>
  <c r="Z14" i="1"/>
  <c r="AJ14" i="1"/>
  <c r="AK14" i="1" s="1"/>
  <c r="Y14" i="1"/>
  <c r="AR22" i="1"/>
  <c r="AS22" i="1" s="1"/>
  <c r="AU24" i="1"/>
  <c r="AR24" i="1"/>
  <c r="AS24" i="1"/>
  <c r="AW14" i="1"/>
  <c r="AU18" i="1"/>
  <c r="AG14" i="1"/>
  <c r="AH14" i="1" s="1"/>
  <c r="AG16" i="1"/>
  <c r="AH16" i="1" s="1"/>
  <c r="AD26" i="1"/>
  <c r="AC26" i="1"/>
  <c r="AE26" i="1" s="1"/>
  <c r="S26" i="1"/>
  <c r="R26" i="1"/>
  <c r="Q26" i="1"/>
  <c r="P26" i="1"/>
  <c r="O26" i="1"/>
  <c r="N26" i="1"/>
  <c r="M26" i="1"/>
  <c r="L26" i="1"/>
  <c r="K26" i="1"/>
  <c r="J26" i="1"/>
  <c r="AW26" i="1" s="1"/>
  <c r="I26" i="1"/>
  <c r="H26" i="1"/>
  <c r="G26" i="1"/>
  <c r="E26" i="1"/>
  <c r="E46" i="1" s="1"/>
  <c r="Z12" i="1"/>
  <c r="Z10" i="1"/>
  <c r="AR14" i="1" l="1"/>
  <c r="AU14" i="1" s="1"/>
  <c r="Z26" i="1"/>
  <c r="AG26" i="1" s="1"/>
  <c r="AJ26" i="1"/>
  <c r="Y26" i="1"/>
  <c r="AU16" i="1"/>
  <c r="AG10" i="1"/>
  <c r="AH10" i="1" s="1"/>
  <c r="AG12" i="1"/>
  <c r="AU12" i="1" s="1"/>
  <c r="AD8" i="1"/>
  <c r="AE8" i="1" s="1"/>
  <c r="AE46" i="1" s="1"/>
  <c r="S8" i="1"/>
  <c r="R8" i="1"/>
  <c r="Q8" i="1"/>
  <c r="P8" i="1"/>
  <c r="O8" i="1"/>
  <c r="N8" i="1"/>
  <c r="M8" i="1"/>
  <c r="L8" i="1"/>
  <c r="K8" i="1"/>
  <c r="J8" i="1"/>
  <c r="I8" i="1"/>
  <c r="H8" i="1"/>
  <c r="S6" i="1"/>
  <c r="S46" i="1" s="1"/>
  <c r="R6" i="1"/>
  <c r="Q6" i="1"/>
  <c r="P6" i="1"/>
  <c r="O6" i="1"/>
  <c r="N6" i="1"/>
  <c r="M6" i="1"/>
  <c r="L6" i="1"/>
  <c r="K6" i="1"/>
  <c r="J6" i="1"/>
  <c r="I6" i="1"/>
  <c r="AJ8" i="1" l="1"/>
  <c r="AK8" i="1" s="1"/>
  <c r="Y8" i="1"/>
  <c r="AJ6" i="1"/>
  <c r="Y6" i="1"/>
  <c r="AH26" i="1"/>
  <c r="AS14" i="1"/>
  <c r="AW8" i="1"/>
  <c r="AW6" i="1"/>
  <c r="AW47" i="1" s="1"/>
  <c r="AU10" i="1"/>
  <c r="AK26" i="1"/>
  <c r="AJ49" i="1"/>
  <c r="AH12" i="1"/>
  <c r="Z8" i="1"/>
  <c r="Z6" i="1"/>
  <c r="O71" i="1" l="1"/>
  <c r="AK6" i="1"/>
  <c r="AJ46" i="1"/>
  <c r="AJ50" i="1" s="1"/>
  <c r="AR26" i="1"/>
  <c r="AS26" i="1" s="1"/>
  <c r="AK49" i="1"/>
  <c r="AR8" i="1"/>
  <c r="AS8" i="1" s="1"/>
  <c r="Z46" i="1"/>
  <c r="AG8" i="1"/>
  <c r="AG6" i="1"/>
  <c r="AR6" i="1" l="1"/>
  <c r="AK46" i="1"/>
  <c r="AU6" i="1"/>
  <c r="AU26" i="1"/>
  <c r="AH8" i="1"/>
  <c r="AG46" i="1"/>
  <c r="AU8" i="1"/>
  <c r="AH6" i="1"/>
  <c r="AK48" i="1" l="1"/>
  <c r="AS46" i="1"/>
  <c r="AS6" i="1"/>
  <c r="AR46" i="1"/>
  <c r="AR48" i="1" s="1"/>
  <c r="AS48" i="1" s="1"/>
  <c r="AQ49" i="1"/>
  <c r="AK50" i="1"/>
  <c r="AH46" i="1"/>
  <c r="AQ50" i="1" l="1"/>
  <c r="AQ51" i="1" s="1"/>
</calcChain>
</file>

<file path=xl/sharedStrings.xml><?xml version="1.0" encoding="utf-8"?>
<sst xmlns="http://schemas.openxmlformats.org/spreadsheetml/2006/main" count="73" uniqueCount="52">
  <si>
    <t>Imputation Credit Distribution Rate</t>
  </si>
  <si>
    <t>Coy</t>
  </si>
  <si>
    <t>FB</t>
  </si>
  <si>
    <t>Date</t>
  </si>
  <si>
    <t>X</t>
  </si>
  <si>
    <t>A$</t>
  </si>
  <si>
    <t>US$</t>
  </si>
  <si>
    <t>CBA (Par)</t>
  </si>
  <si>
    <t>FF Divs A$</t>
  </si>
  <si>
    <t>A$m</t>
  </si>
  <si>
    <t>TAX</t>
  </si>
  <si>
    <t>Sum*3/7</t>
  </si>
  <si>
    <t>West(Par)</t>
  </si>
  <si>
    <t>DIST</t>
  </si>
  <si>
    <t>Dist Rate</t>
  </si>
  <si>
    <t>ANZ (Par)</t>
  </si>
  <si>
    <t>WW (Group)</t>
  </si>
  <si>
    <t>CSL (Con)</t>
  </si>
  <si>
    <t>BHP (Group)</t>
  </si>
  <si>
    <t>Telstra (Group)</t>
  </si>
  <si>
    <t>Wesfarmers (Group)</t>
  </si>
  <si>
    <t>Woodside (Group)</t>
  </si>
  <si>
    <t>Rio (Group)</t>
  </si>
  <si>
    <t>Macq (Group)</t>
  </si>
  <si>
    <t>Origin (Gr)</t>
  </si>
  <si>
    <t>Suncorp (Gr)</t>
  </si>
  <si>
    <t>QBE (Gr)</t>
  </si>
  <si>
    <t>Brambles (Gr)</t>
  </si>
  <si>
    <t>Santos (Gr)</t>
  </si>
  <si>
    <t>AMP (Gr)</t>
  </si>
  <si>
    <t>Amcor (Gr)</t>
  </si>
  <si>
    <t>Sum</t>
  </si>
  <si>
    <t>SUM*3/7</t>
  </si>
  <si>
    <t>Westfield (Par)</t>
  </si>
  <si>
    <t>NAB (group)</t>
  </si>
  <si>
    <t>BUYBACKS</t>
  </si>
  <si>
    <t>CBA</t>
  </si>
  <si>
    <t>BHP</t>
  </si>
  <si>
    <t>West</t>
  </si>
  <si>
    <t>ANZ</t>
  </si>
  <si>
    <t>NAB</t>
  </si>
  <si>
    <t>Telstra</t>
  </si>
  <si>
    <t>Rio</t>
  </si>
  <si>
    <t>RIO</t>
  </si>
  <si>
    <t>TOTAL</t>
  </si>
  <si>
    <t>BB SUBSET EXAMINED</t>
  </si>
  <si>
    <t>OFF-MKT BB IN SUBSET</t>
  </si>
  <si>
    <t>2013-17</t>
  </si>
  <si>
    <t>2013-2017</t>
  </si>
  <si>
    <t>2004-2011</t>
  </si>
  <si>
    <t>2000-2017</t>
  </si>
  <si>
    <t>2000-2013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</si>
</sst>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3"/>
  <sheetViews>
    <sheetView tabSelected="1" topLeftCell="W1" workbookViewId="0">
      <selection activeCell="AS51" sqref="AS51"/>
    </sheetView>
  </sheetViews>
  <sheetFormatPr defaultRowHeight="15" x14ac:dyDescent="0.25"/>
  <sheetData>
    <row r="1" spans="1:49" x14ac:dyDescent="0.25">
      <c r="A1" t="s">
        <v>0</v>
      </c>
    </row>
    <row r="2" spans="1:49" x14ac:dyDescent="0.25">
      <c r="Z2" t="s">
        <v>13</v>
      </c>
      <c r="AK2" t="s">
        <v>13</v>
      </c>
    </row>
    <row r="3" spans="1:49" x14ac:dyDescent="0.25">
      <c r="A3" t="s">
        <v>1</v>
      </c>
      <c r="B3" t="s">
        <v>2</v>
      </c>
      <c r="G3" t="s">
        <v>8</v>
      </c>
      <c r="Z3" t="s">
        <v>51</v>
      </c>
      <c r="AB3" t="s">
        <v>2</v>
      </c>
      <c r="AG3" t="s">
        <v>10</v>
      </c>
      <c r="AH3" t="s">
        <v>14</v>
      </c>
      <c r="AK3" t="s">
        <v>50</v>
      </c>
      <c r="AM3" t="s">
        <v>2</v>
      </c>
      <c r="AR3" t="s">
        <v>10</v>
      </c>
      <c r="AS3" t="s">
        <v>14</v>
      </c>
      <c r="AU3" t="s">
        <v>14</v>
      </c>
      <c r="AW3" t="s">
        <v>49</v>
      </c>
    </row>
    <row r="4" spans="1:49" x14ac:dyDescent="0.25">
      <c r="B4" t="s">
        <v>3</v>
      </c>
      <c r="C4" t="s">
        <v>6</v>
      </c>
      <c r="D4" t="s">
        <v>4</v>
      </c>
      <c r="E4" t="s">
        <v>9</v>
      </c>
      <c r="G4">
        <v>2001</v>
      </c>
      <c r="H4">
        <v>2002</v>
      </c>
      <c r="I4">
        <v>2003</v>
      </c>
      <c r="J4">
        <v>2004</v>
      </c>
      <c r="K4">
        <v>2005</v>
      </c>
      <c r="L4">
        <v>2006</v>
      </c>
      <c r="M4">
        <v>2007</v>
      </c>
      <c r="N4">
        <v>2008</v>
      </c>
      <c r="O4">
        <v>2009</v>
      </c>
      <c r="P4">
        <v>2010</v>
      </c>
      <c r="Q4">
        <v>2011</v>
      </c>
      <c r="R4">
        <v>2012</v>
      </c>
      <c r="S4">
        <v>2013</v>
      </c>
      <c r="T4">
        <v>2014</v>
      </c>
      <c r="U4">
        <v>2015</v>
      </c>
      <c r="V4">
        <v>2016</v>
      </c>
      <c r="W4">
        <v>2017</v>
      </c>
      <c r="Y4" t="s">
        <v>31</v>
      </c>
      <c r="Z4" t="s">
        <v>11</v>
      </c>
      <c r="AB4" t="s">
        <v>3</v>
      </c>
      <c r="AC4" t="s">
        <v>6</v>
      </c>
      <c r="AD4" t="s">
        <v>4</v>
      </c>
      <c r="AE4" t="s">
        <v>5</v>
      </c>
      <c r="AG4" t="s">
        <v>51</v>
      </c>
      <c r="AJ4" t="s">
        <v>31</v>
      </c>
      <c r="AK4" t="s">
        <v>32</v>
      </c>
      <c r="AM4" t="s">
        <v>3</v>
      </c>
      <c r="AN4" t="s">
        <v>6</v>
      </c>
      <c r="AO4" t="s">
        <v>4</v>
      </c>
      <c r="AP4" t="s">
        <v>5</v>
      </c>
      <c r="AR4" t="s">
        <v>50</v>
      </c>
      <c r="AS4" t="s">
        <v>50</v>
      </c>
      <c r="AU4" t="s">
        <v>48</v>
      </c>
      <c r="AW4" t="s">
        <v>13</v>
      </c>
    </row>
    <row r="6" spans="1:49" x14ac:dyDescent="0.25">
      <c r="A6" t="s">
        <v>7</v>
      </c>
      <c r="B6">
        <v>2000</v>
      </c>
      <c r="E6">
        <v>450</v>
      </c>
      <c r="G6">
        <v>1681</v>
      </c>
      <c r="H6">
        <v>1785</v>
      </c>
      <c r="I6">
        <f>865+1027</f>
        <v>1892</v>
      </c>
      <c r="J6">
        <f>996+1066</f>
        <v>2062</v>
      </c>
      <c r="K6">
        <f>1083+1315</f>
        <v>2398</v>
      </c>
      <c r="L6">
        <f>1211+1434</f>
        <v>2645</v>
      </c>
      <c r="M6">
        <f>1380+1668</f>
        <v>3048</v>
      </c>
      <c r="N6">
        <f>1487+1939</f>
        <v>3426</v>
      </c>
      <c r="O6">
        <f>1662+2029</f>
        <v>3691</v>
      </c>
      <c r="P6">
        <f>1841+1747</f>
        <v>3588</v>
      </c>
      <c r="Q6">
        <f>2045+2633</f>
        <v>4678</v>
      </c>
      <c r="R6">
        <f>2166+2930</f>
        <v>5096</v>
      </c>
      <c r="S6">
        <f>2639+3137</f>
        <v>5776</v>
      </c>
      <c r="T6">
        <f>2950+3224</f>
        <v>6174</v>
      </c>
      <c r="U6">
        <f>3210+3534</f>
        <v>6744</v>
      </c>
      <c r="V6">
        <f>3381+3613</f>
        <v>6994</v>
      </c>
      <c r="W6">
        <f>3429+3808</f>
        <v>7237</v>
      </c>
      <c r="Y6">
        <f>SUM(G6:S6)</f>
        <v>41766</v>
      </c>
      <c r="Z6">
        <f>SUM(G6:S6)*(3/7)</f>
        <v>17899.714285714286</v>
      </c>
      <c r="AB6">
        <v>2013</v>
      </c>
      <c r="AE6">
        <v>742</v>
      </c>
      <c r="AG6">
        <f>Z6+AE6-E6</f>
        <v>18191.714285714286</v>
      </c>
      <c r="AH6">
        <f>Z6/AG6</f>
        <v>0.98394873647343373</v>
      </c>
      <c r="AJ6">
        <f>SUM(G6:W6)</f>
        <v>68915</v>
      </c>
      <c r="AK6">
        <f>AJ6*(3/7)</f>
        <v>29535</v>
      </c>
      <c r="AM6">
        <v>2017</v>
      </c>
      <c r="AP6">
        <v>1067</v>
      </c>
      <c r="AR6">
        <f>AK6+AP6-E6</f>
        <v>30152</v>
      </c>
      <c r="AS6">
        <f>AK6/AR6</f>
        <v>0.97953701247015124</v>
      </c>
      <c r="AU6">
        <f>(AK6-Z6)/(AR6-AG6)</f>
        <v>0.97282673610281645</v>
      </c>
      <c r="AW6">
        <f>SUM(J6:Q6)*(3/7)</f>
        <v>10944</v>
      </c>
    </row>
    <row r="7" spans="1:49" x14ac:dyDescent="0.25">
      <c r="AW7">
        <f t="shared" ref="AW7:AW44" si="0">SUM(J7:Q7)*(3/7)</f>
        <v>0</v>
      </c>
    </row>
    <row r="8" spans="1:49" x14ac:dyDescent="0.25">
      <c r="A8" t="s">
        <v>18</v>
      </c>
      <c r="B8">
        <v>2000</v>
      </c>
      <c r="E8">
        <v>24</v>
      </c>
      <c r="G8">
        <f>(524/0.53)*(26/51)</f>
        <v>504.03255641879389</v>
      </c>
      <c r="H8">
        <f>831/0.52</f>
        <v>1598.0769230769231</v>
      </c>
      <c r="I8">
        <f>868/0.58</f>
        <v>1496.5517241379312</v>
      </c>
      <c r="J8">
        <f>1576/0.71</f>
        <v>2219.7183098591549</v>
      </c>
      <c r="K8">
        <f>1642/0.75</f>
        <v>2189.3333333333335</v>
      </c>
      <c r="L8">
        <f>2126/0.75</f>
        <v>2834.6666666666665</v>
      </c>
      <c r="M8">
        <f>2339/0.79</f>
        <v>2960.7594936708861</v>
      </c>
      <c r="N8">
        <f>3250/0.9</f>
        <v>3611.1111111111109</v>
      </c>
      <c r="O8">
        <f>4969/0.75</f>
        <v>6625.333333333333</v>
      </c>
      <c r="P8">
        <f>4895/0.88</f>
        <v>5562.5</v>
      </c>
      <c r="Q8">
        <f>5144/0.99</f>
        <v>5195.9595959595963</v>
      </c>
      <c r="R8">
        <f>5933/1.03</f>
        <v>5760.194174757281</v>
      </c>
      <c r="S8">
        <f>6222/1.03</f>
        <v>6040.7766990291257</v>
      </c>
      <c r="T8">
        <f>6506/0.92</f>
        <v>7071.7391304347821</v>
      </c>
      <c r="U8">
        <f>7052/0.84</f>
        <v>8395.2380952380954</v>
      </c>
      <c r="V8">
        <f>4217/0.73</f>
        <v>5776.7123287671238</v>
      </c>
      <c r="W8">
        <f>3502/0.75</f>
        <v>4669.333333333333</v>
      </c>
      <c r="Y8">
        <f t="shared" ref="Y8:Y42" si="1">SUM(G8:S8)</f>
        <v>46599.013921354133</v>
      </c>
      <c r="Z8">
        <f t="shared" ref="Z8:Z44" si="2">SUM(G8:S8)*(3/7)</f>
        <v>19971.005966294626</v>
      </c>
      <c r="AB8">
        <v>2013</v>
      </c>
      <c r="AC8">
        <v>10516</v>
      </c>
      <c r="AD8">
        <f>1/0.92</f>
        <v>1.0869565217391304</v>
      </c>
      <c r="AE8">
        <f>AC8*AD8</f>
        <v>11430.434782608694</v>
      </c>
      <c r="AG8">
        <f>Z8+AE8-E8</f>
        <v>31377.440748903318</v>
      </c>
      <c r="AH8">
        <f>Z8/AG8</f>
        <v>0.63647657328434726</v>
      </c>
      <c r="AJ8">
        <f t="shared" ref="AJ8:AJ44" si="3">SUM(G8:W8)</f>
        <v>72512.036809127472</v>
      </c>
      <c r="AK8">
        <f t="shared" ref="AK8:AK44" si="4">AJ8*(3/7)</f>
        <v>31076.587203911771</v>
      </c>
      <c r="AM8">
        <v>2017</v>
      </c>
      <c r="AN8">
        <v>10155</v>
      </c>
      <c r="AO8">
        <f>1/0.77</f>
        <v>1.2987012987012987</v>
      </c>
      <c r="AP8">
        <f>AN8*AO8</f>
        <v>13188.311688311689</v>
      </c>
      <c r="AR8">
        <f t="shared" ref="AR8:AR44" si="5">AK8+AP8-E8</f>
        <v>44240.898892223457</v>
      </c>
      <c r="AS8">
        <f t="shared" ref="AS8:AS44" si="6">AK8/AR8</f>
        <v>0.70244023024076319</v>
      </c>
      <c r="AU8">
        <f t="shared" ref="AU8:AU42" si="7">(AK8-Z8)/(AR8-AG8)</f>
        <v>0.8633433648932235</v>
      </c>
      <c r="AW8">
        <f t="shared" si="0"/>
        <v>13371.163647400321</v>
      </c>
    </row>
    <row r="9" spans="1:49" x14ac:dyDescent="0.25">
      <c r="Y9">
        <f t="shared" si="1"/>
        <v>0</v>
      </c>
      <c r="AW9">
        <f t="shared" si="0"/>
        <v>0</v>
      </c>
    </row>
    <row r="10" spans="1:49" x14ac:dyDescent="0.25">
      <c r="A10" t="s">
        <v>12</v>
      </c>
      <c r="B10">
        <v>2000</v>
      </c>
      <c r="E10">
        <v>-56</v>
      </c>
      <c r="G10">
        <f>497+520</f>
        <v>1017</v>
      </c>
      <c r="H10">
        <f>597+560</f>
        <v>1157</v>
      </c>
      <c r="I10">
        <f>631+673</f>
        <v>1304</v>
      </c>
      <c r="J10">
        <v>1474</v>
      </c>
      <c r="K10">
        <v>1667</v>
      </c>
      <c r="L10">
        <v>1981</v>
      </c>
      <c r="M10">
        <v>2270</v>
      </c>
      <c r="N10">
        <v>2583</v>
      </c>
      <c r="O10">
        <v>2994</v>
      </c>
      <c r="P10">
        <v>3700</v>
      </c>
      <c r="Q10">
        <v>4500</v>
      </c>
      <c r="R10">
        <v>4931</v>
      </c>
      <c r="S10">
        <f>5258+310</f>
        <v>5568</v>
      </c>
      <c r="T10">
        <v>5844</v>
      </c>
      <c r="U10">
        <v>5752</v>
      </c>
      <c r="V10">
        <v>6129</v>
      </c>
      <c r="W10">
        <v>6301</v>
      </c>
      <c r="Y10">
        <f>SUM(G10:S10)</f>
        <v>35146</v>
      </c>
      <c r="Z10">
        <f t="shared" si="2"/>
        <v>15062.571428571428</v>
      </c>
      <c r="AB10">
        <v>2013</v>
      </c>
      <c r="AE10">
        <v>1247</v>
      </c>
      <c r="AG10">
        <f>Z10+AE10-E10</f>
        <v>16365.571428571428</v>
      </c>
      <c r="AH10">
        <f>Z10/AG10</f>
        <v>0.92038163740954437</v>
      </c>
      <c r="AJ10">
        <f t="shared" si="3"/>
        <v>59172</v>
      </c>
      <c r="AK10">
        <f t="shared" si="4"/>
        <v>25359.428571428569</v>
      </c>
      <c r="AM10">
        <v>2017</v>
      </c>
      <c r="AP10">
        <v>1063</v>
      </c>
      <c r="AR10">
        <f t="shared" si="5"/>
        <v>26478.428571428569</v>
      </c>
      <c r="AS10">
        <f t="shared" si="6"/>
        <v>0.95773918391790624</v>
      </c>
      <c r="AU10">
        <f t="shared" si="7"/>
        <v>1.018194660262749</v>
      </c>
      <c r="AW10">
        <f t="shared" si="0"/>
        <v>9072.4285714285706</v>
      </c>
    </row>
    <row r="11" spans="1:49" x14ac:dyDescent="0.25">
      <c r="Y11">
        <f t="shared" si="1"/>
        <v>0</v>
      </c>
      <c r="AW11">
        <f t="shared" si="0"/>
        <v>0</v>
      </c>
    </row>
    <row r="12" spans="1:49" x14ac:dyDescent="0.25">
      <c r="A12" t="s">
        <v>15</v>
      </c>
      <c r="B12">
        <v>2000</v>
      </c>
      <c r="E12">
        <v>0</v>
      </c>
      <c r="G12">
        <v>995</v>
      </c>
      <c r="H12">
        <v>1155</v>
      </c>
      <c r="I12">
        <v>1333</v>
      </c>
      <c r="J12">
        <v>1598</v>
      </c>
      <c r="K12">
        <v>1877</v>
      </c>
      <c r="L12">
        <v>2068</v>
      </c>
      <c r="M12">
        <v>2363</v>
      </c>
      <c r="N12">
        <v>2506</v>
      </c>
      <c r="O12">
        <v>2452</v>
      </c>
      <c r="P12">
        <v>2667</v>
      </c>
      <c r="Q12">
        <v>3491</v>
      </c>
      <c r="R12">
        <v>3691</v>
      </c>
      <c r="S12">
        <v>4082</v>
      </c>
      <c r="T12">
        <v>4694</v>
      </c>
      <c r="U12">
        <v>4906</v>
      </c>
      <c r="V12">
        <v>5001</v>
      </c>
      <c r="W12">
        <v>4609</v>
      </c>
      <c r="Y12">
        <f>SUM(G12:S12)</f>
        <v>30278</v>
      </c>
      <c r="Z12">
        <f t="shared" si="2"/>
        <v>12976.285714285714</v>
      </c>
      <c r="AB12">
        <v>2013</v>
      </c>
      <c r="AE12">
        <v>265</v>
      </c>
      <c r="AG12">
        <f>Z12+AE12-E12</f>
        <v>13241.285714285714</v>
      </c>
      <c r="AH12">
        <f>Z12/AG12</f>
        <v>0.97998683770458195</v>
      </c>
      <c r="AJ12">
        <f t="shared" si="3"/>
        <v>49488</v>
      </c>
      <c r="AK12">
        <f t="shared" si="4"/>
        <v>21209.142857142855</v>
      </c>
      <c r="AM12">
        <v>2017</v>
      </c>
      <c r="AP12">
        <v>171</v>
      </c>
      <c r="AR12">
        <f t="shared" si="5"/>
        <v>21380.142857142855</v>
      </c>
      <c r="AS12">
        <f t="shared" si="6"/>
        <v>0.99200192434902879</v>
      </c>
      <c r="AU12">
        <f t="shared" si="7"/>
        <v>1.011549533103981</v>
      </c>
      <c r="AW12">
        <f t="shared" si="0"/>
        <v>8152.2857142857138</v>
      </c>
    </row>
    <row r="13" spans="1:49" x14ac:dyDescent="0.25">
      <c r="Y13">
        <f t="shared" si="1"/>
        <v>0</v>
      </c>
      <c r="AW13">
        <f t="shared" si="0"/>
        <v>0</v>
      </c>
    </row>
    <row r="14" spans="1:49" x14ac:dyDescent="0.25">
      <c r="A14" t="s">
        <v>34</v>
      </c>
      <c r="B14">
        <v>2000</v>
      </c>
      <c r="E14">
        <v>0</v>
      </c>
      <c r="G14">
        <v>2080</v>
      </c>
      <c r="H14">
        <f>2355-120</f>
        <v>2235</v>
      </c>
      <c r="I14">
        <f>2360-120</f>
        <v>2240</v>
      </c>
      <c r="J14">
        <v>2503</v>
      </c>
      <c r="K14">
        <f>2586*0.9</f>
        <v>2327.4</v>
      </c>
      <c r="L14">
        <f>2661*0.8</f>
        <v>2128.8000000000002</v>
      </c>
      <c r="M14">
        <f>2788*0.9</f>
        <v>2509.2000000000003</v>
      </c>
      <c r="N14">
        <v>3124</v>
      </c>
      <c r="O14">
        <v>3069</v>
      </c>
      <c r="P14">
        <v>3102</v>
      </c>
      <c r="Q14">
        <v>3490</v>
      </c>
      <c r="R14">
        <v>3955</v>
      </c>
      <c r="S14">
        <v>4249</v>
      </c>
      <c r="T14">
        <v>4553</v>
      </c>
      <c r="U14">
        <v>4670</v>
      </c>
      <c r="V14">
        <v>5161</v>
      </c>
      <c r="W14">
        <v>5216</v>
      </c>
      <c r="Y14">
        <f>SUM(G14:S14)</f>
        <v>37012.400000000001</v>
      </c>
      <c r="Z14">
        <f t="shared" si="2"/>
        <v>15862.457142857143</v>
      </c>
      <c r="AB14">
        <v>2013</v>
      </c>
      <c r="AE14">
        <v>1047</v>
      </c>
      <c r="AG14">
        <f t="shared" ref="AG14:AG24" si="8">Z14+AE14-E14</f>
        <v>16909.457142857143</v>
      </c>
      <c r="AH14">
        <f t="shared" ref="AH14:AH24" si="9">Z14/AG14</f>
        <v>0.93808198624269423</v>
      </c>
      <c r="AJ14">
        <f t="shared" si="3"/>
        <v>56612.4</v>
      </c>
      <c r="AK14">
        <f t="shared" si="4"/>
        <v>24262.457142857143</v>
      </c>
      <c r="AM14">
        <v>2017</v>
      </c>
      <c r="AP14">
        <v>1115</v>
      </c>
      <c r="AR14">
        <f t="shared" si="5"/>
        <v>25377.457142857143</v>
      </c>
      <c r="AS14">
        <f t="shared" si="6"/>
        <v>0.95606336782588819</v>
      </c>
      <c r="AU14">
        <f t="shared" si="7"/>
        <v>0.99196976854038732</v>
      </c>
      <c r="AW14">
        <f t="shared" si="0"/>
        <v>9537.1714285714279</v>
      </c>
    </row>
    <row r="15" spans="1:49" x14ac:dyDescent="0.25">
      <c r="Y15">
        <f t="shared" si="1"/>
        <v>0</v>
      </c>
      <c r="AW15">
        <f t="shared" si="0"/>
        <v>0</v>
      </c>
    </row>
    <row r="16" spans="1:49" x14ac:dyDescent="0.25">
      <c r="A16" t="s">
        <v>19</v>
      </c>
      <c r="B16">
        <v>2000</v>
      </c>
      <c r="E16">
        <v>74</v>
      </c>
      <c r="G16">
        <v>2316</v>
      </c>
      <c r="H16">
        <v>2831</v>
      </c>
      <c r="I16">
        <v>3345</v>
      </c>
      <c r="J16">
        <v>3186</v>
      </c>
      <c r="K16">
        <v>4131</v>
      </c>
      <c r="L16">
        <v>4970</v>
      </c>
      <c r="M16">
        <v>3479</v>
      </c>
      <c r="N16">
        <v>3498</v>
      </c>
      <c r="O16">
        <v>3517</v>
      </c>
      <c r="P16">
        <v>3494</v>
      </c>
      <c r="Q16">
        <v>3489</v>
      </c>
      <c r="R16">
        <v>3491</v>
      </c>
      <c r="S16">
        <v>3508</v>
      </c>
      <c r="T16">
        <v>3567</v>
      </c>
      <c r="U16">
        <v>3700</v>
      </c>
      <c r="V16">
        <v>3787</v>
      </c>
      <c r="W16">
        <v>3736</v>
      </c>
      <c r="Y16">
        <f>SUM(G16:S16)</f>
        <v>45255</v>
      </c>
      <c r="Z16">
        <f t="shared" si="2"/>
        <v>19395</v>
      </c>
      <c r="AB16">
        <v>2013</v>
      </c>
      <c r="AE16">
        <v>-85</v>
      </c>
      <c r="AG16">
        <f t="shared" si="8"/>
        <v>19236</v>
      </c>
      <c r="AH16">
        <f t="shared" si="9"/>
        <v>1.0082657517155333</v>
      </c>
      <c r="AJ16">
        <f t="shared" si="3"/>
        <v>60045</v>
      </c>
      <c r="AK16">
        <f t="shared" si="4"/>
        <v>25733.571428571428</v>
      </c>
      <c r="AM16">
        <v>2017</v>
      </c>
      <c r="AP16">
        <v>9</v>
      </c>
      <c r="AR16">
        <f t="shared" si="5"/>
        <v>25668.571428571428</v>
      </c>
      <c r="AS16">
        <f t="shared" si="6"/>
        <v>1.0025322796081924</v>
      </c>
      <c r="AU16">
        <f t="shared" si="7"/>
        <v>0.98538687039175621</v>
      </c>
      <c r="AW16">
        <f t="shared" si="0"/>
        <v>12756</v>
      </c>
    </row>
    <row r="17" spans="1:49" x14ac:dyDescent="0.25">
      <c r="Y17">
        <f t="shared" si="1"/>
        <v>0</v>
      </c>
      <c r="AW17">
        <f t="shared" si="0"/>
        <v>0</v>
      </c>
    </row>
    <row r="18" spans="1:49" x14ac:dyDescent="0.25">
      <c r="A18" t="s">
        <v>16</v>
      </c>
      <c r="B18">
        <v>2000</v>
      </c>
      <c r="E18">
        <v>418</v>
      </c>
      <c r="G18">
        <v>500</v>
      </c>
      <c r="H18">
        <v>312</v>
      </c>
      <c r="I18">
        <v>381</v>
      </c>
      <c r="J18">
        <v>428</v>
      </c>
      <c r="K18">
        <v>500</v>
      </c>
      <c r="L18">
        <v>613</v>
      </c>
      <c r="M18">
        <v>788</v>
      </c>
      <c r="N18">
        <v>1006</v>
      </c>
      <c r="O18">
        <v>1174</v>
      </c>
      <c r="P18">
        <v>1349</v>
      </c>
      <c r="Q18">
        <v>1457</v>
      </c>
      <c r="R18">
        <v>1516</v>
      </c>
      <c r="S18">
        <v>1597</v>
      </c>
      <c r="T18">
        <v>1703</v>
      </c>
      <c r="U18">
        <v>1753</v>
      </c>
      <c r="V18">
        <v>1471</v>
      </c>
      <c r="W18">
        <v>860</v>
      </c>
      <c r="Y18">
        <f>SUM(G18:S18)</f>
        <v>11621</v>
      </c>
      <c r="Z18">
        <f t="shared" si="2"/>
        <v>4980.4285714285716</v>
      </c>
      <c r="AB18">
        <v>2013</v>
      </c>
      <c r="AE18">
        <v>1943</v>
      </c>
      <c r="AG18">
        <f t="shared" si="8"/>
        <v>6505.4285714285716</v>
      </c>
      <c r="AH18">
        <f t="shared" si="9"/>
        <v>0.76558039439588921</v>
      </c>
      <c r="AJ18">
        <f t="shared" si="3"/>
        <v>17408</v>
      </c>
      <c r="AK18">
        <f t="shared" si="4"/>
        <v>7460.5714285714284</v>
      </c>
      <c r="AM18">
        <v>2017</v>
      </c>
      <c r="AP18">
        <v>2577</v>
      </c>
      <c r="AR18">
        <f t="shared" si="5"/>
        <v>9619.5714285714275</v>
      </c>
      <c r="AS18">
        <f t="shared" si="6"/>
        <v>0.77556172683665747</v>
      </c>
      <c r="AU18">
        <f t="shared" si="7"/>
        <v>0.79641267948071037</v>
      </c>
      <c r="AW18">
        <f t="shared" si="0"/>
        <v>3135</v>
      </c>
    </row>
    <row r="19" spans="1:49" x14ac:dyDescent="0.25">
      <c r="Y19">
        <f t="shared" si="1"/>
        <v>0</v>
      </c>
      <c r="AW19">
        <f t="shared" si="0"/>
        <v>0</v>
      </c>
    </row>
    <row r="20" spans="1:49" x14ac:dyDescent="0.25">
      <c r="A20" t="s">
        <v>20</v>
      </c>
      <c r="B20">
        <v>2000</v>
      </c>
      <c r="E20">
        <v>0</v>
      </c>
      <c r="G20">
        <v>245</v>
      </c>
      <c r="H20">
        <v>459</v>
      </c>
      <c r="I20">
        <v>446</v>
      </c>
      <c r="J20">
        <v>500</v>
      </c>
      <c r="K20">
        <v>546</v>
      </c>
      <c r="L20">
        <v>725</v>
      </c>
      <c r="M20">
        <v>889</v>
      </c>
      <c r="N20">
        <v>997</v>
      </c>
      <c r="O20">
        <v>1487</v>
      </c>
      <c r="P20">
        <v>1330</v>
      </c>
      <c r="Q20">
        <v>1562</v>
      </c>
      <c r="R20">
        <v>1793</v>
      </c>
      <c r="S20">
        <v>1990</v>
      </c>
      <c r="T20">
        <v>2164</v>
      </c>
      <c r="U20">
        <v>2600</v>
      </c>
      <c r="V20">
        <v>2272</v>
      </c>
      <c r="W20">
        <v>2235</v>
      </c>
      <c r="Y20">
        <f>SUM(G20:S20)</f>
        <v>12969</v>
      </c>
      <c r="Z20">
        <f t="shared" si="2"/>
        <v>5558.1428571428569</v>
      </c>
      <c r="AB20">
        <v>2013</v>
      </c>
      <c r="AE20">
        <v>243</v>
      </c>
      <c r="AG20">
        <f t="shared" si="8"/>
        <v>5801.1428571428569</v>
      </c>
      <c r="AH20">
        <f t="shared" si="9"/>
        <v>0.95811170212765961</v>
      </c>
      <c r="AJ20">
        <f t="shared" si="3"/>
        <v>22240</v>
      </c>
      <c r="AK20">
        <f t="shared" si="4"/>
        <v>9531.4285714285706</v>
      </c>
      <c r="AM20">
        <v>2017</v>
      </c>
      <c r="AP20">
        <v>786</v>
      </c>
      <c r="AR20">
        <f t="shared" si="5"/>
        <v>10317.428571428571</v>
      </c>
      <c r="AS20">
        <f t="shared" si="6"/>
        <v>0.92381822713300654</v>
      </c>
      <c r="AU20">
        <f t="shared" si="7"/>
        <v>0.87976845701271589</v>
      </c>
      <c r="AW20">
        <f t="shared" si="0"/>
        <v>3444</v>
      </c>
    </row>
    <row r="21" spans="1:49" x14ac:dyDescent="0.25">
      <c r="Y21">
        <f t="shared" si="1"/>
        <v>0</v>
      </c>
      <c r="AW21">
        <f t="shared" si="0"/>
        <v>0</v>
      </c>
    </row>
    <row r="22" spans="1:49" x14ac:dyDescent="0.25">
      <c r="A22" t="s">
        <v>17</v>
      </c>
      <c r="B22">
        <v>2004</v>
      </c>
      <c r="E22">
        <f>47*(3/7)</f>
        <v>20.142857142857142</v>
      </c>
      <c r="K22">
        <v>85</v>
      </c>
      <c r="L22">
        <v>58</v>
      </c>
      <c r="M22">
        <v>0</v>
      </c>
      <c r="N22">
        <v>50</v>
      </c>
      <c r="O22">
        <v>138</v>
      </c>
      <c r="P22">
        <v>0</v>
      </c>
      <c r="Q22">
        <v>27</v>
      </c>
      <c r="R22">
        <v>9</v>
      </c>
      <c r="S22">
        <v>0</v>
      </c>
      <c r="T22">
        <v>0</v>
      </c>
      <c r="U22">
        <v>0</v>
      </c>
      <c r="V22">
        <v>0</v>
      </c>
      <c r="W22">
        <v>0</v>
      </c>
      <c r="Y22">
        <f>SUM(G22:S22)</f>
        <v>367</v>
      </c>
      <c r="Z22">
        <f t="shared" si="2"/>
        <v>157.28571428571428</v>
      </c>
      <c r="AB22">
        <v>2013</v>
      </c>
      <c r="AE22">
        <v>0</v>
      </c>
      <c r="AG22">
        <f t="shared" si="8"/>
        <v>137.14285714285714</v>
      </c>
      <c r="AH22">
        <f t="shared" si="9"/>
        <v>1.1468749999999999</v>
      </c>
      <c r="AJ22">
        <f t="shared" si="3"/>
        <v>367</v>
      </c>
      <c r="AK22">
        <f t="shared" si="4"/>
        <v>157.28571428571428</v>
      </c>
      <c r="AM22">
        <v>2017</v>
      </c>
      <c r="AP22">
        <v>0</v>
      </c>
      <c r="AR22">
        <f t="shared" si="5"/>
        <v>137.14285714285714</v>
      </c>
      <c r="AS22">
        <f t="shared" si="6"/>
        <v>1.1468749999999999</v>
      </c>
      <c r="AW22">
        <f t="shared" si="0"/>
        <v>153.42857142857142</v>
      </c>
    </row>
    <row r="23" spans="1:49" x14ac:dyDescent="0.25">
      <c r="AW23">
        <f t="shared" si="0"/>
        <v>0</v>
      </c>
    </row>
    <row r="24" spans="1:49" x14ac:dyDescent="0.25">
      <c r="A24" t="s">
        <v>21</v>
      </c>
      <c r="B24">
        <v>2000</v>
      </c>
      <c r="E24">
        <v>173</v>
      </c>
      <c r="G24">
        <v>560</v>
      </c>
      <c r="H24">
        <v>446</v>
      </c>
      <c r="I24">
        <v>413</v>
      </c>
      <c r="J24">
        <v>347</v>
      </c>
      <c r="K24">
        <v>447</v>
      </c>
      <c r="L24">
        <v>713</v>
      </c>
      <c r="M24">
        <v>847</v>
      </c>
      <c r="N24">
        <v>929</v>
      </c>
      <c r="O24">
        <f>574/0.79</f>
        <v>726.58227848101262</v>
      </c>
      <c r="P24">
        <f>773/0.92</f>
        <v>840.21739130434776</v>
      </c>
      <c r="Q24">
        <f>866/1.03</f>
        <v>840.77669902912623</v>
      </c>
      <c r="R24">
        <f>979/1.04</f>
        <v>941.34615384615381</v>
      </c>
      <c r="S24">
        <f>1738/0.97</f>
        <v>1791.7525773195878</v>
      </c>
      <c r="T24">
        <f>1764/0.9</f>
        <v>1960</v>
      </c>
      <c r="U24">
        <f>1730/0.75</f>
        <v>2306.6666666666665</v>
      </c>
      <c r="V24">
        <f>640/0.74</f>
        <v>864.8648648648649</v>
      </c>
      <c r="W24">
        <f>826/0.77</f>
        <v>1072.7272727272727</v>
      </c>
      <c r="Y24">
        <f t="shared" si="1"/>
        <v>9842.6750999802298</v>
      </c>
      <c r="Z24">
        <f t="shared" si="2"/>
        <v>4218.2893285629552</v>
      </c>
      <c r="AB24">
        <v>2013</v>
      </c>
      <c r="AC24">
        <v>2545</v>
      </c>
      <c r="AD24">
        <f>1/0.895</f>
        <v>1.1173184357541899</v>
      </c>
      <c r="AE24">
        <f>AC24*AD24</f>
        <v>2843.5754189944132</v>
      </c>
      <c r="AG24">
        <f t="shared" si="8"/>
        <v>6888.8647475573689</v>
      </c>
      <c r="AH24">
        <f t="shared" si="9"/>
        <v>0.61233446774501743</v>
      </c>
      <c r="AJ24">
        <f t="shared" si="3"/>
        <v>16046.933904239033</v>
      </c>
      <c r="AK24">
        <f t="shared" si="4"/>
        <v>6877.2573875310136</v>
      </c>
      <c r="AM24">
        <v>2017</v>
      </c>
      <c r="AN24">
        <v>2032</v>
      </c>
      <c r="AO24">
        <f>1/0.78</f>
        <v>1.2820512820512819</v>
      </c>
      <c r="AP24">
        <f>AN24*AO24</f>
        <v>2605.1282051282051</v>
      </c>
      <c r="AR24">
        <f t="shared" si="5"/>
        <v>9309.3855926592187</v>
      </c>
      <c r="AS24">
        <f t="shared" si="6"/>
        <v>0.73874449812820897</v>
      </c>
      <c r="AU24">
        <f t="shared" si="7"/>
        <v>1.098510704565395</v>
      </c>
      <c r="AW24">
        <f t="shared" si="0"/>
        <v>2438.8184437776372</v>
      </c>
    </row>
    <row r="25" spans="1:49" x14ac:dyDescent="0.25">
      <c r="Y25">
        <f t="shared" si="1"/>
        <v>0</v>
      </c>
      <c r="AW25">
        <f t="shared" si="0"/>
        <v>0</v>
      </c>
    </row>
    <row r="26" spans="1:49" x14ac:dyDescent="0.25">
      <c r="A26" t="s">
        <v>22</v>
      </c>
      <c r="B26">
        <v>2000</v>
      </c>
      <c r="E26">
        <f>1038*(3/7)</f>
        <v>444.85714285714283</v>
      </c>
      <c r="G26">
        <f>812/0.52</f>
        <v>1561.5384615384614</v>
      </c>
      <c r="H26">
        <f>826/0.54</f>
        <v>1529.6296296296296</v>
      </c>
      <c r="I26">
        <f>882/0.65</f>
        <v>1356.9230769230769</v>
      </c>
      <c r="J26">
        <f>1062/0.73</f>
        <v>1454.7945205479452</v>
      </c>
      <c r="K26">
        <f>1143/0.76</f>
        <v>1503.9473684210527</v>
      </c>
      <c r="L26">
        <f>2573/0.75</f>
        <v>3430.6666666666665</v>
      </c>
      <c r="M26">
        <f>1507/0.84</f>
        <v>1794.047619047619</v>
      </c>
      <c r="N26">
        <f>1933/0.86</f>
        <v>2247.6744186046512</v>
      </c>
      <c r="O26">
        <f>876/0.79</f>
        <v>1108.8607594936709</v>
      </c>
      <c r="P26">
        <f>1754/0.92</f>
        <v>1906.5217391304348</v>
      </c>
      <c r="Q26">
        <f>2236/1.03</f>
        <v>2170.8737864077671</v>
      </c>
      <c r="R26">
        <f>3038/1.04</f>
        <v>2921.1538461538462</v>
      </c>
      <c r="S26">
        <f>3322/0.97</f>
        <v>3424.7422680412374</v>
      </c>
      <c r="T26">
        <f>3710/0.9</f>
        <v>4122.2222222222217</v>
      </c>
      <c r="U26">
        <f>4076/0.75</f>
        <v>5434.666666666667</v>
      </c>
      <c r="V26">
        <f>2725/0.74</f>
        <v>3682.4324324324325</v>
      </c>
      <c r="W26">
        <f>4250/0.77</f>
        <v>5519.4805194805194</v>
      </c>
      <c r="Y26">
        <f t="shared" si="1"/>
        <v>26411.374160606061</v>
      </c>
      <c r="Z26">
        <f t="shared" si="2"/>
        <v>11319.160354545455</v>
      </c>
      <c r="AB26">
        <v>2013</v>
      </c>
      <c r="AC26">
        <f>(14298+2005)*(3/7)</f>
        <v>6987</v>
      </c>
      <c r="AD26">
        <f>1/0.89</f>
        <v>1.1235955056179776</v>
      </c>
      <c r="AE26">
        <f>AC26*AD26</f>
        <v>7850.56179775281</v>
      </c>
      <c r="AG26">
        <f>Z26+AE26-E26</f>
        <v>18724.865009441124</v>
      </c>
      <c r="AH26">
        <f t="shared" ref="AH26:AH44" si="10">Z26/AG26</f>
        <v>0.60449890286730001</v>
      </c>
      <c r="AJ26">
        <f t="shared" si="3"/>
        <v>45170.176001407905</v>
      </c>
      <c r="AK26">
        <f t="shared" si="4"/>
        <v>19358.646857746244</v>
      </c>
      <c r="AM26">
        <v>2017</v>
      </c>
      <c r="AN26">
        <f>(8542+3158)*(3/7)</f>
        <v>5014.2857142857138</v>
      </c>
      <c r="AO26">
        <f>1/0.78</f>
        <v>1.2820512820512819</v>
      </c>
      <c r="AP26">
        <f>AN26*AO26</f>
        <v>6428.5714285714275</v>
      </c>
      <c r="AR26">
        <f t="shared" si="5"/>
        <v>25342.36114346053</v>
      </c>
      <c r="AS26">
        <f t="shared" si="6"/>
        <v>0.76388489407750571</v>
      </c>
      <c r="AU26">
        <f t="shared" si="7"/>
        <v>1.214883445397297</v>
      </c>
      <c r="AW26">
        <f t="shared" si="0"/>
        <v>6693.1658049942025</v>
      </c>
    </row>
    <row r="27" spans="1:49" x14ac:dyDescent="0.25">
      <c r="Y27">
        <f t="shared" si="1"/>
        <v>0</v>
      </c>
      <c r="AW27">
        <f t="shared" si="0"/>
        <v>0</v>
      </c>
    </row>
    <row r="28" spans="1:49" x14ac:dyDescent="0.25">
      <c r="A28" t="s">
        <v>33</v>
      </c>
      <c r="B28">
        <v>2000</v>
      </c>
      <c r="E28">
        <v>25</v>
      </c>
      <c r="G28">
        <v>47</v>
      </c>
      <c r="H28">
        <v>55</v>
      </c>
      <c r="I28">
        <v>56</v>
      </c>
      <c r="J28">
        <v>82</v>
      </c>
      <c r="K28">
        <v>185</v>
      </c>
      <c r="L28">
        <v>71</v>
      </c>
      <c r="M28">
        <v>38</v>
      </c>
      <c r="N28">
        <v>194</v>
      </c>
      <c r="O28">
        <v>117</v>
      </c>
      <c r="P28">
        <v>0</v>
      </c>
      <c r="Q28">
        <v>115</v>
      </c>
      <c r="R28">
        <v>0</v>
      </c>
      <c r="S28">
        <v>0</v>
      </c>
      <c r="T28">
        <v>164</v>
      </c>
      <c r="U28">
        <v>0</v>
      </c>
      <c r="V28">
        <v>0</v>
      </c>
      <c r="W28">
        <v>0</v>
      </c>
      <c r="Y28">
        <f>SUM(G28:S28)</f>
        <v>960</v>
      </c>
      <c r="Z28">
        <f t="shared" si="2"/>
        <v>411.42857142857139</v>
      </c>
      <c r="AB28">
        <v>2013</v>
      </c>
      <c r="AE28">
        <v>83</v>
      </c>
      <c r="AG28">
        <f t="shared" ref="AG28:AG44" si="11">Z28+AE28-E28</f>
        <v>469.42857142857139</v>
      </c>
      <c r="AH28">
        <f t="shared" si="10"/>
        <v>0.87644552647595864</v>
      </c>
      <c r="AJ28">
        <f t="shared" si="3"/>
        <v>1124</v>
      </c>
      <c r="AK28">
        <f t="shared" si="4"/>
        <v>481.71428571428567</v>
      </c>
      <c r="AM28">
        <v>2017</v>
      </c>
      <c r="AP28">
        <v>4.3</v>
      </c>
      <c r="AR28">
        <f t="shared" si="5"/>
        <v>461.01428571428568</v>
      </c>
      <c r="AS28">
        <f t="shared" si="6"/>
        <v>1.0449009947011247</v>
      </c>
      <c r="AU28">
        <f t="shared" si="7"/>
        <v>-8.353140916808151</v>
      </c>
      <c r="AW28">
        <f t="shared" si="0"/>
        <v>343.71428571428572</v>
      </c>
    </row>
    <row r="29" spans="1:49" x14ac:dyDescent="0.25">
      <c r="Y29">
        <f t="shared" si="1"/>
        <v>0</v>
      </c>
      <c r="AW29">
        <f t="shared" si="0"/>
        <v>0</v>
      </c>
    </row>
    <row r="30" spans="1:49" x14ac:dyDescent="0.25">
      <c r="A30" t="s">
        <v>23</v>
      </c>
      <c r="B30">
        <v>2008</v>
      </c>
      <c r="E30">
        <v>133</v>
      </c>
      <c r="O30">
        <v>880</v>
      </c>
      <c r="P30">
        <v>73</v>
      </c>
      <c r="Q30">
        <v>0</v>
      </c>
      <c r="R30">
        <v>0</v>
      </c>
      <c r="S30">
        <v>0</v>
      </c>
      <c r="T30">
        <f>1159*0.4</f>
        <v>463.6</v>
      </c>
      <c r="U30">
        <f>931*0.4</f>
        <v>372.40000000000003</v>
      </c>
      <c r="V30">
        <f>1208*0.4</f>
        <v>483.20000000000005</v>
      </c>
      <c r="W30">
        <f>816*0.4+646*0.45</f>
        <v>617.1</v>
      </c>
      <c r="Y30">
        <f t="shared" si="1"/>
        <v>953</v>
      </c>
      <c r="Z30">
        <f t="shared" si="2"/>
        <v>408.42857142857139</v>
      </c>
      <c r="AB30">
        <v>2013</v>
      </c>
      <c r="AE30">
        <v>297</v>
      </c>
      <c r="AG30">
        <f t="shared" si="11"/>
        <v>572.42857142857133</v>
      </c>
      <c r="AH30">
        <f t="shared" si="10"/>
        <v>0.71350137259795365</v>
      </c>
      <c r="AJ30">
        <f t="shared" si="3"/>
        <v>2889.2999999999997</v>
      </c>
      <c r="AK30">
        <f t="shared" si="4"/>
        <v>1238.2714285714285</v>
      </c>
      <c r="AM30">
        <v>2017</v>
      </c>
      <c r="AP30">
        <v>199</v>
      </c>
      <c r="AR30">
        <f t="shared" si="5"/>
        <v>1304.2714285714285</v>
      </c>
      <c r="AS30">
        <f t="shared" si="6"/>
        <v>0.94939703611211512</v>
      </c>
      <c r="AU30">
        <f t="shared" si="7"/>
        <v>1.1339085283726014</v>
      </c>
      <c r="AW30">
        <f t="shared" si="0"/>
        <v>408.42857142857139</v>
      </c>
    </row>
    <row r="31" spans="1:49" x14ac:dyDescent="0.25">
      <c r="Y31">
        <f t="shared" si="1"/>
        <v>0</v>
      </c>
      <c r="AW31">
        <f t="shared" si="0"/>
        <v>0</v>
      </c>
    </row>
    <row r="32" spans="1:49" x14ac:dyDescent="0.25">
      <c r="A32" t="s">
        <v>24</v>
      </c>
      <c r="B32">
        <v>2000</v>
      </c>
      <c r="E32">
        <v>0</v>
      </c>
      <c r="G32">
        <v>23</v>
      </c>
      <c r="H32">
        <v>34</v>
      </c>
      <c r="I32">
        <v>13</v>
      </c>
      <c r="J32">
        <v>53</v>
      </c>
      <c r="K32">
        <v>94</v>
      </c>
      <c r="L32">
        <v>134</v>
      </c>
      <c r="M32">
        <v>158</v>
      </c>
      <c r="N32">
        <v>201</v>
      </c>
      <c r="O32">
        <v>554</v>
      </c>
      <c r="P32">
        <v>439</v>
      </c>
      <c r="Q32">
        <v>442</v>
      </c>
      <c r="R32">
        <v>538</v>
      </c>
      <c r="S32">
        <v>546</v>
      </c>
      <c r="T32">
        <v>0</v>
      </c>
      <c r="U32">
        <v>0</v>
      </c>
      <c r="V32">
        <v>0</v>
      </c>
      <c r="W32">
        <v>0</v>
      </c>
      <c r="Y32">
        <f>SUM(G32:S32)</f>
        <v>3229</v>
      </c>
      <c r="Z32">
        <f t="shared" si="2"/>
        <v>1383.8571428571429</v>
      </c>
      <c r="AB32">
        <v>2013</v>
      </c>
      <c r="AE32">
        <v>0</v>
      </c>
      <c r="AG32">
        <f t="shared" si="11"/>
        <v>1383.8571428571429</v>
      </c>
      <c r="AH32">
        <f t="shared" si="10"/>
        <v>1</v>
      </c>
      <c r="AJ32">
        <f t="shared" si="3"/>
        <v>3229</v>
      </c>
      <c r="AK32">
        <f t="shared" si="4"/>
        <v>1383.8571428571429</v>
      </c>
      <c r="AM32">
        <v>2017</v>
      </c>
      <c r="AP32">
        <v>0</v>
      </c>
      <c r="AR32">
        <f t="shared" si="5"/>
        <v>1383.8571428571429</v>
      </c>
      <c r="AS32">
        <f t="shared" si="6"/>
        <v>1</v>
      </c>
      <c r="AW32">
        <f t="shared" si="0"/>
        <v>889.28571428571422</v>
      </c>
    </row>
    <row r="33" spans="1:49" x14ac:dyDescent="0.25">
      <c r="Y33">
        <f t="shared" si="1"/>
        <v>0</v>
      </c>
      <c r="AW33">
        <f t="shared" si="0"/>
        <v>0</v>
      </c>
    </row>
    <row r="34" spans="1:49" x14ac:dyDescent="0.25">
      <c r="A34" t="s">
        <v>25</v>
      </c>
      <c r="B34">
        <v>2000</v>
      </c>
      <c r="E34">
        <f>136*(34/66)</f>
        <v>70.060606060606062</v>
      </c>
      <c r="G34">
        <v>229</v>
      </c>
      <c r="H34">
        <v>300</v>
      </c>
      <c r="I34">
        <v>305</v>
      </c>
      <c r="J34">
        <v>335</v>
      </c>
      <c r="K34">
        <v>458</v>
      </c>
      <c r="L34">
        <v>920</v>
      </c>
      <c r="M34">
        <v>573</v>
      </c>
      <c r="N34">
        <v>993</v>
      </c>
      <c r="O34">
        <v>729</v>
      </c>
      <c r="P34">
        <v>440</v>
      </c>
      <c r="Q34">
        <v>444</v>
      </c>
      <c r="R34">
        <v>511</v>
      </c>
      <c r="S34">
        <v>769</v>
      </c>
      <c r="T34">
        <v>1088</v>
      </c>
      <c r="U34">
        <v>1386</v>
      </c>
      <c r="V34">
        <v>1025</v>
      </c>
      <c r="W34">
        <v>911</v>
      </c>
      <c r="Y34">
        <f>SUM(G34:S34)</f>
        <v>7006</v>
      </c>
      <c r="Z34">
        <f t="shared" si="2"/>
        <v>3002.5714285714284</v>
      </c>
      <c r="AB34">
        <v>2013</v>
      </c>
      <c r="AE34">
        <v>551</v>
      </c>
      <c r="AG34">
        <f t="shared" si="11"/>
        <v>3483.5108225108224</v>
      </c>
      <c r="AH34">
        <f t="shared" si="10"/>
        <v>0.86193830923919867</v>
      </c>
      <c r="AJ34">
        <f t="shared" si="3"/>
        <v>11416</v>
      </c>
      <c r="AK34">
        <f t="shared" si="4"/>
        <v>4892.5714285714284</v>
      </c>
      <c r="AM34">
        <v>2017</v>
      </c>
      <c r="AP34">
        <v>456</v>
      </c>
      <c r="AR34">
        <f t="shared" si="5"/>
        <v>5278.5108225108224</v>
      </c>
      <c r="AS34">
        <f t="shared" si="6"/>
        <v>0.92688479631537168</v>
      </c>
      <c r="AU34">
        <f t="shared" si="7"/>
        <v>1.0529247910863511</v>
      </c>
      <c r="AW34">
        <f t="shared" si="0"/>
        <v>2096.5714285714284</v>
      </c>
    </row>
    <row r="35" spans="1:49" x14ac:dyDescent="0.25">
      <c r="Y35">
        <f t="shared" si="1"/>
        <v>0</v>
      </c>
      <c r="AW35">
        <f t="shared" si="0"/>
        <v>0</v>
      </c>
    </row>
    <row r="36" spans="1:49" x14ac:dyDescent="0.25">
      <c r="A36" t="s">
        <v>26</v>
      </c>
      <c r="B36">
        <v>2000</v>
      </c>
      <c r="E36">
        <v>-8</v>
      </c>
      <c r="G36">
        <v>19</v>
      </c>
      <c r="H36">
        <v>37</v>
      </c>
      <c r="I36">
        <v>34</v>
      </c>
      <c r="J36">
        <v>126</v>
      </c>
      <c r="K36">
        <v>241</v>
      </c>
      <c r="L36">
        <v>344</v>
      </c>
      <c r="M36">
        <v>566</v>
      </c>
      <c r="N36">
        <v>396</v>
      </c>
      <c r="O36">
        <v>255</v>
      </c>
      <c r="P36">
        <f>217/0.92</f>
        <v>235.86956521739128</v>
      </c>
      <c r="Q36">
        <f>139/1.03</f>
        <v>134.95145631067962</v>
      </c>
      <c r="R36">
        <f>146/1.04</f>
        <v>140.38461538461539</v>
      </c>
      <c r="S36">
        <f>349/0.97</f>
        <v>359.79381443298968</v>
      </c>
      <c r="T36">
        <v>342</v>
      </c>
      <c r="U36">
        <v>574</v>
      </c>
      <c r="V36">
        <v>555</v>
      </c>
      <c r="W36">
        <f>302*0.3+453*0.5</f>
        <v>317.10000000000002</v>
      </c>
      <c r="Y36">
        <f t="shared" si="1"/>
        <v>2888.9994513456759</v>
      </c>
      <c r="Z36">
        <f t="shared" si="2"/>
        <v>1238.1426220052897</v>
      </c>
      <c r="AB36">
        <v>2013</v>
      </c>
      <c r="AE36">
        <v>272</v>
      </c>
      <c r="AG36">
        <f t="shared" si="11"/>
        <v>1518.1426220052897</v>
      </c>
      <c r="AH36">
        <f t="shared" si="10"/>
        <v>0.81556410053875394</v>
      </c>
      <c r="AJ36">
        <f t="shared" si="3"/>
        <v>4677.0994513456762</v>
      </c>
      <c r="AK36">
        <f t="shared" si="4"/>
        <v>2004.4711934338611</v>
      </c>
      <c r="AM36">
        <v>2017</v>
      </c>
      <c r="AP36">
        <v>199</v>
      </c>
      <c r="AR36">
        <f t="shared" si="5"/>
        <v>2211.4711934338611</v>
      </c>
      <c r="AS36">
        <f t="shared" si="6"/>
        <v>0.90639715289323719</v>
      </c>
      <c r="AU36">
        <f t="shared" si="7"/>
        <v>1.1052891846784663</v>
      </c>
      <c r="AW36">
        <f t="shared" si="0"/>
        <v>985.20900922631608</v>
      </c>
    </row>
    <row r="37" spans="1:49" x14ac:dyDescent="0.25">
      <c r="AW37">
        <f t="shared" si="0"/>
        <v>0</v>
      </c>
    </row>
    <row r="38" spans="1:49" x14ac:dyDescent="0.25">
      <c r="A38" t="s">
        <v>27</v>
      </c>
      <c r="B38">
        <v>2006</v>
      </c>
      <c r="C38">
        <v>139</v>
      </c>
      <c r="D38">
        <f>1/0.74</f>
        <v>1.3513513513513513</v>
      </c>
      <c r="E38">
        <f>C38*D38</f>
        <v>187.83783783783784</v>
      </c>
      <c r="M38">
        <f>356/0.79</f>
        <v>450.63291139240505</v>
      </c>
      <c r="N38">
        <f>66/0.9</f>
        <v>73.333333333333329</v>
      </c>
      <c r="O38">
        <f>34/0.75</f>
        <v>45.333333333333336</v>
      </c>
      <c r="P38">
        <f>65/0.88</f>
        <v>73.86363636363636</v>
      </c>
      <c r="Q38">
        <f>75/0.99</f>
        <v>75.757575757575765</v>
      </c>
      <c r="R38">
        <f>80/1.03</f>
        <v>77.669902912621353</v>
      </c>
      <c r="S38">
        <f>128/1.03</f>
        <v>124.27184466019418</v>
      </c>
      <c r="T38">
        <f>118/0.92</f>
        <v>128.26086956521738</v>
      </c>
      <c r="U38">
        <f>108/0.84</f>
        <v>128.57142857142858</v>
      </c>
      <c r="V38">
        <f>90/0.73</f>
        <v>123.28767123287672</v>
      </c>
      <c r="W38">
        <f>87/0.75</f>
        <v>116</v>
      </c>
      <c r="Y38">
        <f t="shared" si="1"/>
        <v>920.86253775309933</v>
      </c>
      <c r="Z38">
        <f t="shared" si="2"/>
        <v>394.65537332275682</v>
      </c>
      <c r="AB38">
        <v>2013</v>
      </c>
      <c r="AC38">
        <v>72</v>
      </c>
      <c r="AD38">
        <f>1/0.92</f>
        <v>1.0869565217391304</v>
      </c>
      <c r="AE38">
        <f>AC38*AD38</f>
        <v>78.260869565217391</v>
      </c>
      <c r="AG38">
        <f t="shared" si="11"/>
        <v>285.07840505013633</v>
      </c>
      <c r="AH38">
        <f t="shared" si="10"/>
        <v>1.3843748468192438</v>
      </c>
      <c r="AJ38">
        <f t="shared" si="3"/>
        <v>1416.9825071226221</v>
      </c>
      <c r="AK38">
        <f t="shared" si="4"/>
        <v>607.27821733826659</v>
      </c>
      <c r="AM38">
        <v>2017</v>
      </c>
      <c r="AN38">
        <v>57</v>
      </c>
      <c r="AO38">
        <f>1/0.77</f>
        <v>1.2987012987012987</v>
      </c>
      <c r="AP38">
        <f>AN38*AO38</f>
        <v>74.025974025974023</v>
      </c>
      <c r="AR38">
        <f t="shared" si="5"/>
        <v>493.46635352640283</v>
      </c>
      <c r="AS38">
        <f t="shared" si="6"/>
        <v>1.230637535869554</v>
      </c>
      <c r="AU38">
        <f t="shared" si="7"/>
        <v>1.020322171076633</v>
      </c>
      <c r="AW38">
        <f t="shared" si="0"/>
        <v>308.10891007726451</v>
      </c>
    </row>
    <row r="39" spans="1:49" x14ac:dyDescent="0.25">
      <c r="AW39">
        <f t="shared" si="0"/>
        <v>0</v>
      </c>
    </row>
    <row r="40" spans="1:49" x14ac:dyDescent="0.25">
      <c r="A40" t="s">
        <v>28</v>
      </c>
      <c r="B40">
        <v>2000</v>
      </c>
      <c r="E40">
        <v>360</v>
      </c>
      <c r="G40">
        <v>180</v>
      </c>
      <c r="H40">
        <v>200</v>
      </c>
      <c r="I40">
        <v>198</v>
      </c>
      <c r="J40">
        <v>213</v>
      </c>
      <c r="K40">
        <v>243</v>
      </c>
      <c r="L40">
        <v>268</v>
      </c>
      <c r="M40">
        <v>269</v>
      </c>
      <c r="N40">
        <v>286</v>
      </c>
      <c r="O40">
        <v>327</v>
      </c>
      <c r="P40">
        <v>350</v>
      </c>
      <c r="Q40">
        <v>263</v>
      </c>
      <c r="R40">
        <v>285</v>
      </c>
      <c r="S40">
        <v>289</v>
      </c>
      <c r="T40">
        <v>341</v>
      </c>
      <c r="U40">
        <v>298</v>
      </c>
      <c r="V40">
        <f>66/0.74</f>
        <v>89.189189189189193</v>
      </c>
      <c r="W40">
        <v>0</v>
      </c>
      <c r="Y40">
        <f>SUM(G40:S40)</f>
        <v>3371</v>
      </c>
      <c r="Z40">
        <f t="shared" si="2"/>
        <v>1444.7142857142856</v>
      </c>
      <c r="AB40">
        <v>2013</v>
      </c>
      <c r="AE40">
        <v>845</v>
      </c>
      <c r="AG40">
        <f t="shared" si="11"/>
        <v>1929.7142857142853</v>
      </c>
      <c r="AH40">
        <f t="shared" si="10"/>
        <v>0.74866745632217957</v>
      </c>
      <c r="AJ40">
        <f t="shared" si="3"/>
        <v>4099.1891891891892</v>
      </c>
      <c r="AK40">
        <f t="shared" si="4"/>
        <v>1756.7953667953666</v>
      </c>
      <c r="AM40">
        <v>2017</v>
      </c>
      <c r="AN40">
        <v>399</v>
      </c>
      <c r="AO40">
        <f>1/0.78</f>
        <v>1.2820512820512819</v>
      </c>
      <c r="AP40">
        <f t="shared" ref="AP40" si="12">AN40*AO40</f>
        <v>511.53846153846149</v>
      </c>
      <c r="AR40">
        <f t="shared" si="5"/>
        <v>1908.333828333828</v>
      </c>
      <c r="AS40">
        <f t="shared" si="6"/>
        <v>0.92059121979157588</v>
      </c>
      <c r="AU40">
        <f t="shared" si="7"/>
        <v>-14.596557759626657</v>
      </c>
      <c r="AW40">
        <f t="shared" si="0"/>
        <v>951</v>
      </c>
    </row>
    <row r="41" spans="1:49" x14ac:dyDescent="0.25">
      <c r="AW41">
        <f t="shared" si="0"/>
        <v>0</v>
      </c>
    </row>
    <row r="42" spans="1:49" x14ac:dyDescent="0.25">
      <c r="A42" t="s">
        <v>29</v>
      </c>
      <c r="B42">
        <v>2002</v>
      </c>
      <c r="E42">
        <v>80</v>
      </c>
      <c r="I42">
        <v>51</v>
      </c>
      <c r="J42">
        <v>322</v>
      </c>
      <c r="K42">
        <v>392</v>
      </c>
      <c r="L42">
        <v>556</v>
      </c>
      <c r="M42">
        <v>685</v>
      </c>
      <c r="N42">
        <v>765</v>
      </c>
      <c r="O42">
        <v>412</v>
      </c>
      <c r="P42">
        <v>351</v>
      </c>
      <c r="Q42">
        <v>315</v>
      </c>
      <c r="R42">
        <v>399</v>
      </c>
      <c r="S42">
        <v>475</v>
      </c>
      <c r="T42">
        <f>710*0.7</f>
        <v>496.99999999999994</v>
      </c>
      <c r="U42">
        <f>399*0.8+414*0.85</f>
        <v>671.1</v>
      </c>
      <c r="V42">
        <f>828*0.9</f>
        <v>745.2</v>
      </c>
      <c r="W42">
        <f>837*0.9</f>
        <v>753.30000000000007</v>
      </c>
      <c r="Y42">
        <f t="shared" si="1"/>
        <v>4723</v>
      </c>
      <c r="Z42">
        <f t="shared" si="2"/>
        <v>2024.1428571428571</v>
      </c>
      <c r="AB42">
        <v>2013</v>
      </c>
      <c r="AE42">
        <v>196</v>
      </c>
      <c r="AG42">
        <f t="shared" si="11"/>
        <v>2140.1428571428569</v>
      </c>
      <c r="AH42">
        <f t="shared" si="10"/>
        <v>0.94579801081369741</v>
      </c>
      <c r="AJ42">
        <f t="shared" si="3"/>
        <v>7389.6</v>
      </c>
      <c r="AK42">
        <f t="shared" si="4"/>
        <v>3166.9714285714285</v>
      </c>
      <c r="AM42">
        <v>2017</v>
      </c>
      <c r="AP42">
        <v>275</v>
      </c>
      <c r="AR42">
        <f t="shared" si="5"/>
        <v>3361.9714285714285</v>
      </c>
      <c r="AS42">
        <f t="shared" si="6"/>
        <v>0.941998317313821</v>
      </c>
      <c r="AU42">
        <f t="shared" si="7"/>
        <v>0.93534281171078459</v>
      </c>
      <c r="AW42">
        <f t="shared" si="0"/>
        <v>1627.7142857142856</v>
      </c>
    </row>
    <row r="43" spans="1:49" x14ac:dyDescent="0.25">
      <c r="AW43">
        <f t="shared" si="0"/>
        <v>0</v>
      </c>
    </row>
    <row r="44" spans="1:49" x14ac:dyDescent="0.25">
      <c r="A44" t="s">
        <v>30</v>
      </c>
      <c r="B44">
        <v>2000</v>
      </c>
      <c r="E44">
        <v>0</v>
      </c>
      <c r="G44">
        <v>88</v>
      </c>
      <c r="H44">
        <v>103</v>
      </c>
      <c r="I44">
        <v>120</v>
      </c>
      <c r="J44">
        <v>106</v>
      </c>
      <c r="K44">
        <v>98</v>
      </c>
      <c r="L44">
        <v>55</v>
      </c>
      <c r="M44">
        <v>23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Y44">
        <f>SUM(G44:S44)</f>
        <v>593</v>
      </c>
      <c r="Z44">
        <f t="shared" si="2"/>
        <v>254.14285714285714</v>
      </c>
      <c r="AB44">
        <v>2013</v>
      </c>
      <c r="AE44">
        <v>0</v>
      </c>
      <c r="AG44">
        <f t="shared" si="11"/>
        <v>254.14285714285714</v>
      </c>
      <c r="AH44">
        <f t="shared" si="10"/>
        <v>1</v>
      </c>
      <c r="AJ44">
        <f t="shared" si="3"/>
        <v>593</v>
      </c>
      <c r="AK44">
        <f t="shared" si="4"/>
        <v>254.14285714285714</v>
      </c>
      <c r="AM44">
        <v>2016</v>
      </c>
      <c r="AP44">
        <v>0</v>
      </c>
      <c r="AR44">
        <f t="shared" si="5"/>
        <v>254.14285714285714</v>
      </c>
      <c r="AS44">
        <f t="shared" si="6"/>
        <v>1</v>
      </c>
      <c r="AW44">
        <f t="shared" si="0"/>
        <v>120.85714285714285</v>
      </c>
    </row>
    <row r="46" spans="1:49" x14ac:dyDescent="0.25">
      <c r="E46">
        <f>SUM(E6:E44)</f>
        <v>2395.8984438984439</v>
      </c>
      <c r="S46">
        <f>SUM(S6:S44)</f>
        <v>40590.337203483134</v>
      </c>
      <c r="V46">
        <f>SUM(V6:V44)-V12-V36-V42</f>
        <v>37858.686486486491</v>
      </c>
      <c r="W46">
        <f>SUM(W6:W44)-W12-W36-W42</f>
        <v>38490.641125541115</v>
      </c>
      <c r="Z46">
        <f>SUM(Z6:Z44)</f>
        <v>137962.4250733025</v>
      </c>
      <c r="AE46">
        <f>SUM(AE6:AE44)</f>
        <v>29848.832868921134</v>
      </c>
      <c r="AG46">
        <f>SUM(AG6:AG44)</f>
        <v>165415.35949832518</v>
      </c>
      <c r="AH46">
        <f>Z46/AG46</f>
        <v>0.83403636452937346</v>
      </c>
      <c r="AJ46">
        <f>SUM(AJ6:AJ44)</f>
        <v>504810.71786243189</v>
      </c>
      <c r="AK46">
        <f>SUM(AK6:AK44)</f>
        <v>216347.45051247074</v>
      </c>
      <c r="AR46">
        <f>SUM(AR6:AR44)</f>
        <v>244680.42782614805</v>
      </c>
      <c r="AS46">
        <f>AK46/AR46</f>
        <v>0.88420415328925017</v>
      </c>
    </row>
    <row r="47" spans="1:49" x14ac:dyDescent="0.25">
      <c r="AW47">
        <f>SUM(AW6:AW44)</f>
        <v>87428.35152976145</v>
      </c>
    </row>
    <row r="48" spans="1:49" x14ac:dyDescent="0.25">
      <c r="V48">
        <f>1244/37858</f>
        <v>3.2859633366791693E-2</v>
      </c>
      <c r="W48">
        <f>2313/38490</f>
        <v>6.0093530787217457E-2</v>
      </c>
      <c r="AK48">
        <f>AK46-AK8-AK26</f>
        <v>165912.21645081273</v>
      </c>
      <c r="AR48">
        <f>AR46-AR8-AR26</f>
        <v>175097.16779046407</v>
      </c>
      <c r="AS48">
        <f>AK48/AR48</f>
        <v>0.94754368985200943</v>
      </c>
    </row>
    <row r="49" spans="1:43" x14ac:dyDescent="0.25">
      <c r="AJ49">
        <f>SUM(AJ6:AJ16) +AJ26</f>
        <v>411914.61281053541</v>
      </c>
      <c r="AK49">
        <f>SUM(AK6:AK16) +AK26</f>
        <v>176534.83406165798</v>
      </c>
      <c r="AP49" t="s">
        <v>47</v>
      </c>
      <c r="AQ49">
        <f>AK46-Z46</f>
        <v>78385.025439168239</v>
      </c>
    </row>
    <row r="50" spans="1:43" x14ac:dyDescent="0.25">
      <c r="A50" t="s">
        <v>35</v>
      </c>
      <c r="V50">
        <f>(1244+2313)/(V46+W46)</f>
        <v>4.6588491493665118E-2</v>
      </c>
      <c r="AJ50">
        <f>AJ49/AJ46</f>
        <v>0.81597834244634249</v>
      </c>
      <c r="AK50">
        <f>AK49/AK46</f>
        <v>0.81597834244634249</v>
      </c>
      <c r="AQ50">
        <f>AR46-AG46</f>
        <v>79265.068327822868</v>
      </c>
    </row>
    <row r="51" spans="1:43" x14ac:dyDescent="0.25">
      <c r="C51" t="s">
        <v>36</v>
      </c>
      <c r="D51" t="s">
        <v>37</v>
      </c>
      <c r="G51" t="s">
        <v>38</v>
      </c>
      <c r="H51" t="s">
        <v>39</v>
      </c>
      <c r="I51" t="s">
        <v>40</v>
      </c>
      <c r="J51" t="s">
        <v>41</v>
      </c>
      <c r="K51" t="s">
        <v>42</v>
      </c>
      <c r="AQ51">
        <f>AQ49/AQ50</f>
        <v>0.98889746886970475</v>
      </c>
    </row>
    <row r="52" spans="1:43" x14ac:dyDescent="0.25">
      <c r="A52">
        <v>2001</v>
      </c>
      <c r="C52">
        <v>724</v>
      </c>
      <c r="G52">
        <v>753</v>
      </c>
      <c r="H52">
        <v>495</v>
      </c>
    </row>
    <row r="53" spans="1:43" x14ac:dyDescent="0.25">
      <c r="A53">
        <v>2002</v>
      </c>
      <c r="D53">
        <v>19</v>
      </c>
      <c r="E53">
        <f>1/0.52</f>
        <v>1.9230769230769229</v>
      </c>
      <c r="F53">
        <f>D53*E53</f>
        <v>36.538461538461533</v>
      </c>
      <c r="G53">
        <v>397</v>
      </c>
      <c r="I53">
        <v>1248</v>
      </c>
    </row>
    <row r="54" spans="1:43" x14ac:dyDescent="0.25">
      <c r="A54">
        <v>2003</v>
      </c>
      <c r="D54">
        <v>20</v>
      </c>
      <c r="E54">
        <f>1/0.58</f>
        <v>1.7241379310344829</v>
      </c>
      <c r="F54">
        <f t="shared" ref="F54:F63" si="13">D54*E54</f>
        <v>34.482758620689658</v>
      </c>
      <c r="I54">
        <v>1565</v>
      </c>
    </row>
    <row r="55" spans="1:43" x14ac:dyDescent="0.25">
      <c r="A55">
        <v>2004</v>
      </c>
      <c r="C55">
        <v>532</v>
      </c>
      <c r="G55">
        <v>559</v>
      </c>
      <c r="H55">
        <v>204</v>
      </c>
      <c r="I55">
        <v>162</v>
      </c>
      <c r="J55">
        <v>1009</v>
      </c>
    </row>
    <row r="56" spans="1:43" x14ac:dyDescent="0.25">
      <c r="A56">
        <v>2005</v>
      </c>
      <c r="D56">
        <v>1792</v>
      </c>
      <c r="E56">
        <f>1/0.75</f>
        <v>1.3333333333333333</v>
      </c>
      <c r="F56">
        <f t="shared" si="13"/>
        <v>2389.333333333333</v>
      </c>
      <c r="H56">
        <v>146</v>
      </c>
      <c r="J56">
        <v>756</v>
      </c>
      <c r="K56">
        <v>877</v>
      </c>
      <c r="L56">
        <f>1/0.76</f>
        <v>1.3157894736842106</v>
      </c>
      <c r="M56">
        <f>K56*L56</f>
        <v>1153.9473684210527</v>
      </c>
    </row>
    <row r="57" spans="1:43" x14ac:dyDescent="0.25">
      <c r="A57">
        <v>2006</v>
      </c>
      <c r="D57">
        <v>2028</v>
      </c>
      <c r="E57">
        <f>1/0.75</f>
        <v>1.3333333333333333</v>
      </c>
      <c r="F57">
        <f t="shared" si="13"/>
        <v>2704</v>
      </c>
      <c r="K57">
        <v>2370</v>
      </c>
      <c r="L57">
        <f>1/0.75</f>
        <v>1.3333333333333333</v>
      </c>
      <c r="M57">
        <f t="shared" ref="M57:M68" si="14">K57*L57</f>
        <v>3160</v>
      </c>
    </row>
    <row r="58" spans="1:43" x14ac:dyDescent="0.25">
      <c r="A58">
        <v>2007</v>
      </c>
      <c r="D58">
        <v>5741</v>
      </c>
      <c r="E58">
        <f>1/0.79</f>
        <v>1.2658227848101264</v>
      </c>
      <c r="F58">
        <f t="shared" si="13"/>
        <v>7267.0886075949356</v>
      </c>
      <c r="I58">
        <v>1200</v>
      </c>
      <c r="K58">
        <v>1624</v>
      </c>
      <c r="L58">
        <f>1/0.84</f>
        <v>1.1904761904761905</v>
      </c>
      <c r="M58">
        <f t="shared" si="14"/>
        <v>1933.3333333333333</v>
      </c>
    </row>
    <row r="59" spans="1:43" x14ac:dyDescent="0.25">
      <c r="A59">
        <v>2008</v>
      </c>
      <c r="D59">
        <v>3115</v>
      </c>
      <c r="E59">
        <f>1/0.9</f>
        <v>1.1111111111111112</v>
      </c>
      <c r="F59">
        <f t="shared" si="13"/>
        <v>3461.1111111111113</v>
      </c>
    </row>
    <row r="60" spans="1:43" x14ac:dyDescent="0.25">
      <c r="A60">
        <v>2009</v>
      </c>
    </row>
    <row r="61" spans="1:43" x14ac:dyDescent="0.25">
      <c r="A61">
        <v>2010</v>
      </c>
      <c r="H61">
        <v>78</v>
      </c>
    </row>
    <row r="62" spans="1:43" x14ac:dyDescent="0.25">
      <c r="A62">
        <v>2011</v>
      </c>
      <c r="D62">
        <v>9860</v>
      </c>
      <c r="E62">
        <f>1/0.99</f>
        <v>1.0101010101010102</v>
      </c>
      <c r="F62">
        <f t="shared" si="13"/>
        <v>9959.5959595959594</v>
      </c>
      <c r="H62">
        <v>137</v>
      </c>
      <c r="I62">
        <v>33</v>
      </c>
      <c r="K62">
        <v>5504</v>
      </c>
      <c r="L62">
        <f>1/1.03</f>
        <v>0.970873786407767</v>
      </c>
      <c r="M62">
        <f t="shared" si="14"/>
        <v>5343.6893203883492</v>
      </c>
    </row>
    <row r="63" spans="1:43" x14ac:dyDescent="0.25">
      <c r="A63">
        <v>2012</v>
      </c>
      <c r="D63">
        <v>83</v>
      </c>
      <c r="E63">
        <f>1/1.03</f>
        <v>0.970873786407767</v>
      </c>
      <c r="F63">
        <f t="shared" si="13"/>
        <v>80.582524271844662</v>
      </c>
      <c r="K63">
        <v>1471</v>
      </c>
      <c r="L63">
        <f>1/1.04</f>
        <v>0.96153846153846145</v>
      </c>
      <c r="M63">
        <f t="shared" si="14"/>
        <v>1414.4230769230769</v>
      </c>
    </row>
    <row r="64" spans="1:43" x14ac:dyDescent="0.25">
      <c r="A64">
        <v>2013</v>
      </c>
      <c r="H64">
        <v>425</v>
      </c>
    </row>
    <row r="65" spans="1:15" x14ac:dyDescent="0.25">
      <c r="A65">
        <v>2014</v>
      </c>
      <c r="H65">
        <v>500</v>
      </c>
    </row>
    <row r="66" spans="1:15" x14ac:dyDescent="0.25">
      <c r="A66">
        <v>2015</v>
      </c>
      <c r="J66">
        <v>1004</v>
      </c>
      <c r="K66">
        <v>2028</v>
      </c>
      <c r="L66">
        <f>1/0.75</f>
        <v>1.3333333333333333</v>
      </c>
      <c r="M66">
        <f t="shared" si="14"/>
        <v>2704</v>
      </c>
    </row>
    <row r="67" spans="1:15" x14ac:dyDescent="0.25">
      <c r="A67">
        <v>2016</v>
      </c>
      <c r="J67">
        <v>1502</v>
      </c>
    </row>
    <row r="68" spans="1:15" x14ac:dyDescent="0.25">
      <c r="A68">
        <v>2017</v>
      </c>
      <c r="H68">
        <v>176</v>
      </c>
      <c r="K68">
        <v>2083</v>
      </c>
      <c r="L68">
        <f>1/0.77</f>
        <v>1.2987012987012987</v>
      </c>
      <c r="M68">
        <f t="shared" si="14"/>
        <v>2705.1948051948052</v>
      </c>
    </row>
    <row r="70" spans="1:15" x14ac:dyDescent="0.25">
      <c r="C70">
        <f>SUM(C52:C68)</f>
        <v>1256</v>
      </c>
      <c r="F70">
        <f t="shared" ref="F70:M70" si="15">SUM(F52:F68)</f>
        <v>25932.732756066336</v>
      </c>
      <c r="G70">
        <f t="shared" si="15"/>
        <v>1709</v>
      </c>
      <c r="H70">
        <f t="shared" si="15"/>
        <v>2161</v>
      </c>
      <c r="I70">
        <f t="shared" si="15"/>
        <v>4208</v>
      </c>
      <c r="J70">
        <f t="shared" si="15"/>
        <v>4271</v>
      </c>
      <c r="M70">
        <f t="shared" si="15"/>
        <v>18414.587904260614</v>
      </c>
      <c r="O70">
        <f>SUM(C70:M70)</f>
        <v>57952.32066032695</v>
      </c>
    </row>
    <row r="71" spans="1:15" x14ac:dyDescent="0.25">
      <c r="O71">
        <f>O70/AJ49</f>
        <v>0.14069013057078106</v>
      </c>
    </row>
    <row r="73" spans="1:15" x14ac:dyDescent="0.25">
      <c r="O73">
        <f>0.89*(1.21)/(1+0.21*0.89)</f>
        <v>0.90732159406858193</v>
      </c>
    </row>
    <row r="74" spans="1:15" x14ac:dyDescent="0.25">
      <c r="A74" t="s">
        <v>45</v>
      </c>
      <c r="D74" t="s">
        <v>37</v>
      </c>
    </row>
    <row r="75" spans="1:15" x14ac:dyDescent="0.25">
      <c r="D75">
        <v>2005</v>
      </c>
      <c r="E75">
        <f>1481/(1481+296)</f>
        <v>0.83342712436691058</v>
      </c>
    </row>
    <row r="76" spans="1:15" x14ac:dyDescent="0.25">
      <c r="D76">
        <v>2006</v>
      </c>
      <c r="E76">
        <f>1475/(1475+145)</f>
        <v>0.91049382716049387</v>
      </c>
      <c r="K76" t="s">
        <v>42</v>
      </c>
    </row>
    <row r="77" spans="1:15" x14ac:dyDescent="0.25">
      <c r="D77">
        <v>2007</v>
      </c>
      <c r="E77">
        <f>2559/(2559+286)</f>
        <v>0.89947275922671355</v>
      </c>
      <c r="K77">
        <v>2015</v>
      </c>
      <c r="L77">
        <f>39/48.44</f>
        <v>0.80511973575557394</v>
      </c>
      <c r="M77">
        <f>48.44*11.57*0.75</f>
        <v>420.33809999999994</v>
      </c>
    </row>
    <row r="78" spans="1:15" x14ac:dyDescent="0.25">
      <c r="D78">
        <v>2011</v>
      </c>
      <c r="E78">
        <f>6301/(6301+44)</f>
        <v>0.99306540583136327</v>
      </c>
      <c r="K78">
        <v>2017</v>
      </c>
      <c r="L78">
        <f>54.23/63.67</f>
        <v>0.85173551122977842</v>
      </c>
      <c r="M78">
        <f>63.67*11.78*0.77</f>
        <v>577.52510200000006</v>
      </c>
    </row>
    <row r="80" spans="1:15" x14ac:dyDescent="0.25">
      <c r="E80">
        <f>AVERAGE(E75:E78)</f>
        <v>0.9091147791463704</v>
      </c>
      <c r="L80">
        <f>AVERAGE(L77:L78)</f>
        <v>0.82842762349267618</v>
      </c>
    </row>
    <row r="82" spans="1:10" x14ac:dyDescent="0.25">
      <c r="A82" t="s">
        <v>46</v>
      </c>
    </row>
    <row r="84" spans="1:10" x14ac:dyDescent="0.25">
      <c r="B84" t="s">
        <v>37</v>
      </c>
      <c r="C84">
        <v>2005</v>
      </c>
      <c r="D84">
        <f>1475/0.75</f>
        <v>1966.6666666666667</v>
      </c>
      <c r="F84" t="s">
        <v>43</v>
      </c>
      <c r="G84">
        <v>2015</v>
      </c>
      <c r="H84">
        <f>39*11.57</f>
        <v>451.23</v>
      </c>
    </row>
    <row r="85" spans="1:10" x14ac:dyDescent="0.25">
      <c r="C85">
        <v>2006</v>
      </c>
      <c r="D85">
        <f>1475/0.75</f>
        <v>1966.6666666666667</v>
      </c>
      <c r="G85">
        <v>2017</v>
      </c>
      <c r="H85">
        <f>54.23*11.78</f>
        <v>638.82939999999996</v>
      </c>
    </row>
    <row r="86" spans="1:10" x14ac:dyDescent="0.25">
      <c r="C86">
        <v>2007</v>
      </c>
      <c r="D86">
        <f>2559/0.79</f>
        <v>3239.2405063291139</v>
      </c>
    </row>
    <row r="87" spans="1:10" x14ac:dyDescent="0.25">
      <c r="C87">
        <v>2011</v>
      </c>
      <c r="D87">
        <f>6301/0.99</f>
        <v>6364.6464646464647</v>
      </c>
    </row>
    <row r="89" spans="1:10" x14ac:dyDescent="0.25">
      <c r="D89">
        <f>SUM(D84:D87)</f>
        <v>13537.220304308912</v>
      </c>
      <c r="H89">
        <f>H84+H85</f>
        <v>1090.0594000000001</v>
      </c>
      <c r="J89">
        <f>D89+H89</f>
        <v>14627.279704308912</v>
      </c>
    </row>
    <row r="90" spans="1:10" x14ac:dyDescent="0.25">
      <c r="J90">
        <f>J89*(3/7)*(58/40)*(217/176)</f>
        <v>11207.321977988959</v>
      </c>
    </row>
    <row r="93" spans="1:10" x14ac:dyDescent="0.25">
      <c r="A93" t="s">
        <v>44</v>
      </c>
      <c r="B93">
        <f>216.3/244.7</f>
        <v>0.88393951777686974</v>
      </c>
      <c r="C93">
        <f>(216.3+27.5)/(244.7+27.5)</f>
        <v>0.89566495224099929</v>
      </c>
      <c r="D93">
        <f>(216.3+27.5)/(244.7+27.5+5.6)</f>
        <v>0.87760979121670268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Karunaratne, Mineka</cp:lastModifiedBy>
  <cp:lastPrinted>2018-05-27T22:12:21Z</cp:lastPrinted>
  <dcterms:created xsi:type="dcterms:W3CDTF">2018-05-09T23:30:26Z</dcterms:created>
  <dcterms:modified xsi:type="dcterms:W3CDTF">2018-08-07T03:06:06Z</dcterms:modified>
</cp:coreProperties>
</file>