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Revised Final Plan/MGN Revised Final Plan/"/>
    </mc:Choice>
  </mc:AlternateContent>
  <xr:revisionPtr revIDLastSave="12" documentId="13_ncr:1_{7DBDAF59-CA0E-4062-A7EA-14E4B8C762F0}" xr6:coauthVersionLast="47" xr6:coauthVersionMax="47" xr10:uidLastSave="{2DC551EA-CE67-474C-AD10-D84A0C181FB5}"/>
  <bookViews>
    <workbookView xWindow="-120" yWindow="-120" windowWidth="29040" windowHeight="15840" tabRatio="916" activeTab="5" xr2:uid="{00000000-000D-0000-FFFF-FFFF00000000}"/>
  </bookViews>
  <sheets>
    <sheet name="Cover" sheetId="17" r:id="rId1"/>
    <sheet name="Index" sheetId="5" r:id="rId2"/>
    <sheet name="Change log" sheetId="14" r:id="rId3"/>
    <sheet name="Input | General" sheetId="2" r:id="rId4"/>
    <sheet name="Input | Inflation and Disc Rate" sheetId="13" r:id="rId5"/>
    <sheet name="Input | Reported Capex" sheetId="3" r:id="rId6"/>
    <sheet name="Input | Reported Performance" sheetId="16" r:id="rId7"/>
    <sheet name="Input | Asset Performance Index" sheetId="15" r:id="rId8"/>
    <sheet name="Calc | CESS Revenue Increments" sheetId="4" r:id="rId9"/>
    <sheet name="Output | Model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[6]SECTORS!$BP$16:$BP$33</definedName>
    <definedName name="__123Graph_CWH2" hidden="1">[6]SECTORS!$CD$33:$CD$71</definedName>
    <definedName name="__123Graph_CWH3" hidden="1">[6]SECTORS!$CH$33:$CH$71</definedName>
    <definedName name="__123Graph_X" hidden="1">[6]SECTORS!$A$16:$A$37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[7]NSW!$AZ$5:$AZ$26</definedName>
    <definedName name="_157__123Graph_ACHART_68" hidden="1">[1]TAS!$AG$5:$AG$26</definedName>
    <definedName name="_158__123Graph_ACHART_69" hidden="1">[7]NSW!$AG$5:$AG$26</definedName>
    <definedName name="_164__123Graph_ACHART_6" hidden="1">[1]VIC!$S$5:$S$26</definedName>
    <definedName name="_165__123Graph_ACHART_62" hidden="1">[1]ACT!$BA$7:$BA$26</definedName>
    <definedName name="_166__123Graph_ACHART_66" hidden="1">[7]NSW!$AZ$5:$AZ$26</definedName>
    <definedName name="_167__123Graph_ACHART_68" hidden="1">[1]TAS!$AG$5:$AG$26</definedName>
    <definedName name="_168__123Graph_ACHART_69" hidden="1">[7]NSW!$AG$5:$AG$26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[8]charts!#REF!</definedName>
    <definedName name="_215__123Graph_ACHART_9" hidden="1">[1]VIC!$BC$5:$BC$26</definedName>
    <definedName name="_223__123Graph_BCHART_1" hidden="1">[8]charts!#REF!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[7]NSW!$BE$5:$BE$26</definedName>
    <definedName name="_335__123Graph_BCHART_68" hidden="1">[1]TAS!$AN$5:$AN$26</definedName>
    <definedName name="_336__123Graph_BCHART_69" hidden="1">[7]NSW!$AN$5:$AN$26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[7]NSW!$BE$5:$BE$26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[7]NSW!$AN$5:$AN$26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[8]charts!#REF!</definedName>
    <definedName name="_397__123Graph_BCHART_8" hidden="1">[1]VIC!#REF!</definedName>
    <definedName name="_404__123Graph_CCHART_10" hidden="1">[8]charts!#REF!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[8]charts!#REF!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[8]charts!#REF!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[8]charts!#REF!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[8]charts!#REF!</definedName>
    <definedName name="_461__123Graph_CCHART_5" hidden="1">[8]charts!#REF!</definedName>
    <definedName name="_463__123Graph_CCHART_2" hidden="1">[1]VIC!$AW$9:$AW$26</definedName>
    <definedName name="_469__123Graph_CCHART_6" hidden="1">[8]charts!#REF!</definedName>
    <definedName name="_470__123Graph_CCHART_62" hidden="1">[1]ACT!$BD$7:$BD$26</definedName>
    <definedName name="_471__123Graph_CCHART_3" hidden="1">[8]charts!#REF!</definedName>
    <definedName name="_471__123Graph_CCHART_66" hidden="1">[7]NSW!$BG$5:$BG$26</definedName>
    <definedName name="_472__123Graph_CCHART_68" hidden="1">[1]TAS!$AU$5:$AU$26</definedName>
    <definedName name="_473__123Graph_CCHART_69" hidden="1">[7]NSW!$AX$5:$AX$26</definedName>
    <definedName name="_479__123Graph_CCHART_4" hidden="1">[8]charts!#REF!</definedName>
    <definedName name="_481__123Graph_CCHART_7" hidden="1">[8]charts!#REF!</definedName>
    <definedName name="_482__123Graph_CCHART_70" hidden="1">[1]ACT!$P$5:$P$26</definedName>
    <definedName name="_487__123Graph_CCHART_5" hidden="1">[8]charts!#REF!</definedName>
    <definedName name="_490__123Graph_CCHART_8" hidden="1">[8]charts!#REF!</definedName>
    <definedName name="_495__123Graph_CCHART_6" hidden="1">[8]charts!#REF!</definedName>
    <definedName name="_496__123Graph_CCHART_62" hidden="1">[1]ACT!$BD$7:$BD$26</definedName>
    <definedName name="_497__123Graph_CCHART_66" hidden="1">[7]NSW!$BG$5:$BG$26</definedName>
    <definedName name="_498__123Graph_CCHART_68" hidden="1">[1]TAS!$AU$5:$AU$26</definedName>
    <definedName name="_498__123Graph_CCHART_9" hidden="1">[8]charts!#REF!</definedName>
    <definedName name="_499__123Graph_CCHART_69" hidden="1">[7]NSW!$AX$5:$AX$26</definedName>
    <definedName name="_499__123Graph_DCHART_1" hidden="1">[1]VIC!$W$9:$W$26</definedName>
    <definedName name="_507__123Graph_CCHART_7" hidden="1">[8]charts!#REF!</definedName>
    <definedName name="_507__123Graph_DCHART_10" hidden="1">[8]charts!#REF!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[7]NSW!$BI$5:$BI$26</definedName>
    <definedName name="_513__123Graph_DCHART_68" hidden="1">[1]TAS!$AW$5:$AW$26</definedName>
    <definedName name="_514__123Graph_DCHART_70" hidden="1">[1]ACT!$R$5:$R$26</definedName>
    <definedName name="_516__123Graph_CCHART_8" hidden="1">[8]charts!#REF!</definedName>
    <definedName name="_522__123Graph_ECHART_10" hidden="1">[8]charts!#REF!</definedName>
    <definedName name="_523__123Graph_ECHART_11" hidden="1">[1]VIC!$BO$5:$BO$26</definedName>
    <definedName name="_524__123Graph_CCHART_9" hidden="1">[8]charts!#REF!</definedName>
    <definedName name="_524__123Graph_ECHART_2" hidden="1">[1]VIC!$AN$9:$AN$26</definedName>
    <definedName name="_525__123Graph_DCHART_1" hidden="1">[1]VIC!$W$9:$W$26</definedName>
    <definedName name="_525__123Graph_ECHART_66" hidden="1">[7]NSW!$BO$5:$BO$26</definedName>
    <definedName name="_526__123Graph_ECHART_68" hidden="1">[1]TAS!$AX$5:$AX$26</definedName>
    <definedName name="_533__123Graph_DCHART_10" hidden="1">[8]charts!#REF!</definedName>
    <definedName name="_534__123Graph_DCHART_11" hidden="1">[1]VIC!$BI$5:$BI$26</definedName>
    <definedName name="_534__123Graph_FCHART_10" hidden="1">[8]charts!#REF!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[7]NSW!$BI$5:$BI$26</definedName>
    <definedName name="_539__123Graph_DCHART_68" hidden="1">[1]TAS!$AW$5:$AW$26</definedName>
    <definedName name="_540__123Graph_DCHART_70" hidden="1">[1]ACT!$R$5:$R$26</definedName>
    <definedName name="_548__123Graph_ECHART_10" hidden="1">[8]charts!#REF!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[7]NSW!$BO$5:$BO$26</definedName>
    <definedName name="_552__123Graph_ECHART_68" hidden="1">[1]TAS!$AX$5:$AX$26</definedName>
    <definedName name="_560__123Graph_FCHART_10" hidden="1">[8]charts!#REF!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YGENDER">#REF!</definedName>
    <definedName name="BYINDUSTRY">#REF!</definedName>
    <definedName name="CHECKqtrlycurrent">#REF!</definedName>
    <definedName name="COMP">[7]Investments!$C$8:$FF$80</definedName>
    <definedName name="CONT">[9]PCE!#REF!</definedName>
    <definedName name="DATES">#REF!</definedName>
    <definedName name="dollars">#REF!</definedName>
    <definedName name="e">'[1]AUST SUM'!#REF!</definedName>
    <definedName name="factor">#REF!</definedName>
    <definedName name="infn">'[10]AWOTE Table'!$A$1:$I$57</definedName>
    <definedName name="interest">'[11]LTF Tables 1'!#REF!</definedName>
    <definedName name="KSTOCK">[5]REXP!#REF!</definedName>
    <definedName name="millions">#REF!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to_Real">'[12]Input|Rate of change'!$C$23:$C$26</definedName>
    <definedName name="NSP">'[13]Input | General'!$D$6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#REF!</definedName>
    <definedName name="PAGE1">#REF!</definedName>
    <definedName name="PAGE2">#REF!</definedName>
    <definedName name="PBI">[2]Investments!#REF!</definedName>
    <definedName name="PCE">[9]PCE!#REF!</definedName>
    <definedName name="PCOMP">[2]Investments!#REF!</definedName>
    <definedName name="PCONT">[5]REXP!#REF!</definedName>
    <definedName name="percent" localSheetId="9">'[12]Lookup|Tables'!$G$14</definedName>
    <definedName name="percent">#REF!</definedName>
    <definedName name="PMAIN">[2]Investments!#REF!</definedName>
    <definedName name="PPEXP">[5]REXP!#REF!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[7]Annual!$J$3:$K$46</definedName>
    <definedName name="REQP">[7]Annual!$N$4:$O$46</definedName>
    <definedName name="REXP">[7]Annual!$B$7:$Y$49</definedName>
    <definedName name="RFORE">[7]Annual!$A$20:$Y$38</definedName>
    <definedName name="RGC">[7]Annual!$D$3:$E$46</definedName>
    <definedName name="RGDP">[7]Annual!#REF!</definedName>
    <definedName name="RGI">[7]Annual!$F$3:$G$46</definedName>
    <definedName name="RGNE">[7]Annual!#REF!</definedName>
    <definedName name="RGT">[7]Annual!$H$3:$I$46</definedName>
    <definedName name="RIMP">[7]Annual!#REF!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DW">[7]Annual!$L$3:$M$46</definedName>
    <definedName name="RPCE">[7]Annual!$B$3:$C$46</definedName>
    <definedName name="RPI">[7]Annual!$V$3:$W$46</definedName>
    <definedName name="RTREX">[7]Annual!$T$3:$U$46</definedName>
    <definedName name="RXTNL">[7]Annual!#REF!</definedName>
    <definedName name="SAMATconstant">'[14]SA - Non-Res'!#REF!</definedName>
    <definedName name="SAMATcurrent">'[14]SA - Non-Res'!#REF!</definedName>
    <definedName name="SAqtrlyconstant">'[14]SA - Non-Res'!#REF!</definedName>
    <definedName name="SAqtrlycurrent">'[14]SA - Non-Res'!#REF!</definedName>
    <definedName name="Table2">[7]Investments!$C$8</definedName>
    <definedName name="TableTopLeft">[7]Annual!#REF!</definedName>
    <definedName name="TASMATcurrent">#REF!</definedName>
    <definedName name="TASqtrlyconstant">#REF!</definedName>
    <definedName name="TASqtrlycurrent">#REF!</definedName>
    <definedName name="thousands">#REF!</definedName>
    <definedName name="TOT">[9]PCE!#REF!</definedName>
    <definedName name="TotalStateSummaryqtrlyconstant">#REF!</definedName>
    <definedName name="unit">#REF!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[7]Annual!$A$3:$Y$47</definedName>
    <definedName name="X">[7]Annual!$B$43:$B$47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L18" i="3"/>
  <c r="M22" i="13" l="1"/>
  <c r="K22" i="13"/>
  <c r="L22" i="13"/>
  <c r="H12" i="16" l="1"/>
  <c r="I12" i="16"/>
  <c r="J12" i="16"/>
  <c r="K12" i="16"/>
  <c r="H23" i="16"/>
  <c r="I23" i="16"/>
  <c r="J23" i="16"/>
  <c r="K23" i="16"/>
  <c r="L12" i="16"/>
  <c r="H15" i="16"/>
  <c r="C15" i="16" s="1"/>
  <c r="D37" i="16"/>
  <c r="D36" i="16"/>
  <c r="D35" i="16"/>
  <c r="D31" i="16"/>
  <c r="D30" i="16"/>
  <c r="D21" i="16"/>
  <c r="D20" i="16"/>
  <c r="D10" i="16"/>
  <c r="D9" i="16"/>
  <c r="B1" i="2"/>
  <c r="A1" i="14" s="1"/>
  <c r="E47" i="16"/>
  <c r="E46" i="16"/>
  <c r="E45" i="16"/>
  <c r="E44" i="16"/>
  <c r="E43" i="16"/>
  <c r="L6" i="16"/>
  <c r="L41" i="16" s="1"/>
  <c r="K6" i="16"/>
  <c r="K41" i="16" s="1"/>
  <c r="J6" i="16"/>
  <c r="J41" i="16" s="1"/>
  <c r="I6" i="16"/>
  <c r="I27" i="16" s="1"/>
  <c r="H6" i="16"/>
  <c r="H27" i="16" s="1"/>
  <c r="L23" i="16"/>
  <c r="B1" i="15"/>
  <c r="L19" i="13"/>
  <c r="A6" i="14"/>
  <c r="A7" i="14"/>
  <c r="A8" i="14" s="1"/>
  <c r="A9" i="14" s="1"/>
  <c r="A10" i="14" s="1"/>
  <c r="A11" i="14" s="1"/>
  <c r="A12" i="14" s="1"/>
  <c r="D18" i="2"/>
  <c r="H46" i="16" s="1"/>
  <c r="G7" i="13"/>
  <c r="G19" i="13" s="1"/>
  <c r="H7" i="13"/>
  <c r="H19" i="13" s="1"/>
  <c r="I7" i="13"/>
  <c r="I19" i="13" s="1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K6" i="3"/>
  <c r="K16" i="3" s="1"/>
  <c r="K23" i="3" s="1"/>
  <c r="L6" i="3"/>
  <c r="H6" i="3"/>
  <c r="H12" i="3" s="1"/>
  <c r="I16" i="3"/>
  <c r="I23" i="3"/>
  <c r="I12" i="3"/>
  <c r="L16" i="3"/>
  <c r="L23" i="3"/>
  <c r="L12" i="3"/>
  <c r="D25" i="4"/>
  <c r="D27" i="4" s="1"/>
  <c r="G22" i="13"/>
  <c r="D9" i="4" s="1"/>
  <c r="H22" i="13"/>
  <c r="E9" i="4" s="1"/>
  <c r="I22" i="13"/>
  <c r="F9" i="4" s="1"/>
  <c r="J22" i="13"/>
  <c r="G9" i="4" s="1"/>
  <c r="H9" i="4"/>
  <c r="H8" i="4"/>
  <c r="N14" i="13"/>
  <c r="N22" i="13" s="1"/>
  <c r="N9" i="13"/>
  <c r="O9" i="13" s="1"/>
  <c r="P9" i="13" s="1"/>
  <c r="Q9" i="13" s="1"/>
  <c r="G8" i="4"/>
  <c r="F8" i="4"/>
  <c r="E8" i="4"/>
  <c r="G10" i="13"/>
  <c r="B1" i="3"/>
  <c r="E25" i="4" l="1"/>
  <c r="E27" i="4" s="1"/>
  <c r="J27" i="16"/>
  <c r="H41" i="16"/>
  <c r="I41" i="16"/>
  <c r="K27" i="16"/>
  <c r="F11" i="4"/>
  <c r="B1" i="4"/>
  <c r="B1" i="13"/>
  <c r="B1" i="5"/>
  <c r="B1" i="16"/>
  <c r="B1" i="10"/>
  <c r="E18" i="2"/>
  <c r="H45" i="16"/>
  <c r="H27" i="3"/>
  <c r="H16" i="3"/>
  <c r="H23" i="3" s="1"/>
  <c r="D11" i="4" s="1"/>
  <c r="M7" i="13"/>
  <c r="M19" i="13" s="1"/>
  <c r="H44" i="16"/>
  <c r="J12" i="3"/>
  <c r="O14" i="13"/>
  <c r="H47" i="16"/>
  <c r="D41" i="4"/>
  <c r="J6" i="10" s="1"/>
  <c r="F8" i="10" s="1"/>
  <c r="L27" i="16"/>
  <c r="G15" i="13"/>
  <c r="D10" i="4" s="1"/>
  <c r="K12" i="3"/>
  <c r="F7" i="13"/>
  <c r="D24" i="4"/>
  <c r="H10" i="13"/>
  <c r="I10" i="13" s="1"/>
  <c r="J10" i="13" s="1"/>
  <c r="K10" i="13" s="1"/>
  <c r="L10" i="13" s="1"/>
  <c r="M10" i="13" s="1"/>
  <c r="H43" i="16"/>
  <c r="G11" i="4"/>
  <c r="E11" i="4"/>
  <c r="H11" i="4"/>
  <c r="G19" i="4"/>
  <c r="F19" i="4" s="1"/>
  <c r="E19" i="4" s="1"/>
  <c r="D19" i="4" s="1"/>
  <c r="D21" i="4" s="1"/>
  <c r="D12" i="4" l="1"/>
  <c r="H13" i="4" s="1"/>
  <c r="H15" i="13"/>
  <c r="E10" i="4" s="1"/>
  <c r="E12" i="4" s="1"/>
  <c r="H30" i="3"/>
  <c r="C47" i="4"/>
  <c r="C45" i="4"/>
  <c r="C43" i="4"/>
  <c r="O22" i="13"/>
  <c r="P14" i="13"/>
  <c r="C15" i="13"/>
  <c r="F10" i="3"/>
  <c r="F9" i="3"/>
  <c r="F12" i="3"/>
  <c r="C10" i="13"/>
  <c r="F8" i="3"/>
  <c r="I46" i="16"/>
  <c r="I43" i="16"/>
  <c r="E24" i="4"/>
  <c r="I47" i="16"/>
  <c r="E41" i="4"/>
  <c r="K6" i="10" s="1"/>
  <c r="I44" i="16"/>
  <c r="N7" i="13"/>
  <c r="N19" i="13" s="1"/>
  <c r="I27" i="3"/>
  <c r="I45" i="16"/>
  <c r="F18" i="2"/>
  <c r="I30" i="3"/>
  <c r="N10" i="13"/>
  <c r="F25" i="4" l="1"/>
  <c r="F27" i="4" s="1"/>
  <c r="F13" i="4"/>
  <c r="G13" i="4"/>
  <c r="D20" i="4"/>
  <c r="E13" i="4"/>
  <c r="E18" i="4" s="1"/>
  <c r="E21" i="4" s="1"/>
  <c r="F14" i="4"/>
  <c r="F18" i="4" s="1"/>
  <c r="F21" i="4" s="1"/>
  <c r="G14" i="4"/>
  <c r="H14" i="4"/>
  <c r="E20" i="4"/>
  <c r="I15" i="13"/>
  <c r="Q14" i="13"/>
  <c r="Q22" i="13" s="1"/>
  <c r="P22" i="13"/>
  <c r="F41" i="4"/>
  <c r="L6" i="10" s="1"/>
  <c r="J46" i="16"/>
  <c r="F24" i="4"/>
  <c r="J47" i="16"/>
  <c r="J44" i="16"/>
  <c r="O7" i="13"/>
  <c r="O19" i="13" s="1"/>
  <c r="J27" i="3"/>
  <c r="G18" i="2"/>
  <c r="J43" i="16"/>
  <c r="J45" i="16"/>
  <c r="J30" i="3"/>
  <c r="H25" i="4" l="1"/>
  <c r="G25" i="4"/>
  <c r="G27" i="4" s="1"/>
  <c r="J15" i="13"/>
  <c r="F10" i="4"/>
  <c r="F12" i="4" s="1"/>
  <c r="O10" i="13"/>
  <c r="K30" i="3" s="1"/>
  <c r="H18" i="2"/>
  <c r="G41" i="4"/>
  <c r="M6" i="10" s="1"/>
  <c r="G24" i="4"/>
  <c r="K46" i="16"/>
  <c r="K27" i="3"/>
  <c r="K43" i="16"/>
  <c r="P7" i="13"/>
  <c r="P19" i="13" s="1"/>
  <c r="K47" i="16"/>
  <c r="K44" i="16"/>
  <c r="K45" i="16"/>
  <c r="H27" i="4" l="1"/>
  <c r="H15" i="4"/>
  <c r="G15" i="4"/>
  <c r="G18" i="4" s="1"/>
  <c r="G21" i="4" s="1"/>
  <c r="F20" i="4"/>
  <c r="K15" i="13"/>
  <c r="G10" i="4"/>
  <c r="G12" i="4" s="1"/>
  <c r="P10" i="13"/>
  <c r="L30" i="3" s="1"/>
  <c r="L47" i="16"/>
  <c r="N47" i="16" s="1"/>
  <c r="E14" i="15" s="1"/>
  <c r="F14" i="15" s="1"/>
  <c r="H14" i="15" s="1"/>
  <c r="H41" i="4"/>
  <c r="N6" i="10" s="1"/>
  <c r="Q7" i="13"/>
  <c r="Q19" i="13" s="1"/>
  <c r="H24" i="4"/>
  <c r="L44" i="16"/>
  <c r="N44" i="16" s="1"/>
  <c r="E11" i="15" s="1"/>
  <c r="F11" i="15" s="1"/>
  <c r="H11" i="15" s="1"/>
  <c r="L43" i="16"/>
  <c r="N43" i="16" s="1"/>
  <c r="E10" i="15" s="1"/>
  <c r="F10" i="15" s="1"/>
  <c r="H10" i="15" s="1"/>
  <c r="L45" i="16"/>
  <c r="L46" i="16"/>
  <c r="N46" i="16" s="1"/>
  <c r="E13" i="15" s="1"/>
  <c r="F13" i="15" s="1"/>
  <c r="H13" i="15" s="1"/>
  <c r="L27" i="3"/>
  <c r="N45" i="16"/>
  <c r="E12" i="15" s="1"/>
  <c r="F12" i="15" s="1"/>
  <c r="H12" i="15" s="1"/>
  <c r="H15" i="15" l="1"/>
  <c r="E17" i="15" s="1"/>
  <c r="G17" i="15" s="1"/>
  <c r="G20" i="4"/>
  <c r="H16" i="4"/>
  <c r="H18" i="4" s="1"/>
  <c r="H21" i="4" s="1"/>
  <c r="D35" i="4" s="1"/>
  <c r="H10" i="4"/>
  <c r="H12" i="4" s="1"/>
  <c r="H20" i="4" s="1"/>
  <c r="L15" i="13"/>
  <c r="Q10" i="13"/>
  <c r="M15" i="13" l="1"/>
  <c r="H31" i="3"/>
  <c r="D26" i="4" s="1"/>
  <c r="D28" i="4" s="1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3" i="4" l="1"/>
  <c r="D34" i="4"/>
  <c r="H44" i="4" l="1"/>
  <c r="G44" i="4"/>
  <c r="E44" i="4"/>
  <c r="D44" i="4"/>
  <c r="F44" i="4"/>
  <c r="D36" i="4"/>
  <c r="D37" i="4" s="1"/>
  <c r="D43" i="4" s="1"/>
  <c r="E43" i="4" l="1"/>
  <c r="D45" i="4"/>
  <c r="J8" i="10" s="1"/>
  <c r="F43" i="4" l="1"/>
  <c r="E45" i="4"/>
  <c r="K8" i="10" s="1"/>
  <c r="G43" i="4" l="1"/>
  <c r="F45" i="4"/>
  <c r="L8" i="10" s="1"/>
  <c r="G45" i="4" l="1"/>
  <c r="H43" i="4"/>
  <c r="H45" i="4" s="1"/>
  <c r="N8" i="10" s="1"/>
  <c r="M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Li, Brendan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2" shapeId="0" xr:uid="{60AB981F-C77B-4D05-84C6-0CD8518648B3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H18" authorId="2" shapeId="0" xr:uid="{AEC19209-71EF-4633-B875-BAF29A7E149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<sst xmlns="http://schemas.openxmlformats.org/spreadsheetml/2006/main" count="367" uniqueCount="194">
  <si>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</si>
  <si>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</si>
  <si>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</si>
  <si>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</si>
  <si>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</si>
  <si>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</si>
  <si>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</si>
  <si>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</si>
  <si>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</si>
  <si>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</si>
  <si>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</si>
  <si>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</si>
  <si>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</si>
  <si>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</si>
  <si>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</si>
  <si>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</si>
  <si>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</si>
  <si>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</si>
  <si>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</si>
  <si>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</si>
  <si>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</si>
  <si>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</si>
  <si>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</si>
  <si>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</si>
  <si>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</si>
  <si>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</si>
  <si>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</si>
  <si>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</si>
  <si>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</si>
  <si>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</si>
  <si>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</si>
  <si>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</si>
  <si>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</si>
  <si>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</si>
  <si>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</si>
  <si>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</si>
  <si>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</si>
  <si>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</si>
  <si>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</si>
  <si>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</si>
  <si>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</si>
  <si>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</si>
  <si>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</si>
  <si>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</si>
  <si>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</si>
  <si>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</si>
  <si>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</si>
  <si>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</si>
  <si>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</si>
  <si>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</si>
  <si>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</si>
  <si>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</si>
  <si>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</si>
  <si>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</si>
  <si>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</si>
  <si>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</si>
  <si>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</si>
  <si>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</si>
  <si>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</si>
  <si>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</si>
  <si>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</si>
  <si>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</si>
  <si>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</si>
  <si>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</si>
  <si>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</si>
  <si>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</si>
  <si>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</si>
  <si>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</si>
  <si>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</si>
  <si>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</si>
  <si>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</si>
  <si>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</si>
  <si>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</si>
  <si>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</si>
  <si>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</si>
  <si>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</si>
  <si>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</si>
  <si>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</si>
  <si>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</si>
  <si>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</si>
  <si>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</si>
  <si>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</si>
  <si>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</si>
  <si>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</si>
  <si>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</si>
  <si>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</si>
  <si>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</si>
  <si>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</si>
  <si>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</si>
  <si>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</si>
  <si>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</si>
  <si>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</si>
  <si>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</si>
  <si>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</si>
  <si>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</si>
  <si>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</si>
  <si>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</si>
  <si>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</si>
  <si>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</si>
  <si>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</si>
  <si>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</si>
  <si>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</si>
  <si>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</si>
  <si>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</si>
  <si>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</si>
  <si>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</si>
  <si>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</si>
  <si>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</si>
  <si>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</si>
  <si>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</si>
  <si>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</si>
  <si>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</si>
  <si>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</si>
  <si>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</si>
  <si>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</si>
  <si>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</si>
  <si>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</si>
  <si>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</si>
  <si>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</si>
  <si>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</si>
  <si>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</si>
  <si>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</si>
  <si>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</si>
  <si>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</si>
  <si>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</si>
  <si>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</si>
  <si>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</si>
  <si>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</si>
  <si>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</si>
  <si>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</si>
  <si>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</si>
  <si>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</si>
  <si>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</si>
  <si>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</si>
  <si>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</si>
  <si>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</si>
  <si>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</si>
  <si>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</si>
  <si>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</si>
  <si>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</si>
  <si>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</si>
  <si>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</si>
  <si>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</si>
  <si>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</si>
  <si>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</si>
  <si>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</si>
  <si>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</si>
  <si>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</si>
  <si>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</si>
  <si>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</si>
  <si>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</si>
  <si>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</si>
  <si>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</si>
  <si>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</si>
  <si>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</si>
  <si>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</si>
  <si>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</si>
  <si>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</si>
  <si>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</si>
  <si>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</si>
  <si>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</si>
  <si>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</si>
  <si>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</si>
  <si>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</si>
  <si>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</si>
  <si>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</si>
  <si>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</si>
  <si>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</si>
  <si>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</si>
  <si>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</si>
  <si>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</si>
  <si>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</si>
  <si>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</si>
  <si>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</si>
  <si>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</si>
  <si>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</si>
  <si>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</si>
  <si>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</si>
  <si>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</si>
  <si>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</si>
  <si>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</si>
  <si>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</si>
  <si>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</si>
  <si>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</si>
  <si>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</si>
  <si>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</si>
  <si>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</si>
  <si>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</si>
  <si>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</si>
  <si>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</si>
  <si>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</si>
  <si>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</si>
  <si>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Multinet Gas</t>
  </si>
  <si>
    <t>&lt;-make sure equity raising costs and movement in provisions associated with capex are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</si>
</sst>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5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65" fontId="24" fillId="53" borderId="24" xfId="304" applyNumberFormat="1" applyFont="1" applyFill="1" applyBorder="1" applyAlignment="1">
      <alignment vertical="center"/>
    </xf>
    <xf numFmtId="2" fontId="24" fillId="53" borderId="51" xfId="1" applyNumberFormat="1" applyFont="1" applyFill="1" applyBorder="1" applyAlignment="1">
      <alignment horizontal="center" vertical="center"/>
    </xf>
    <xf numFmtId="189" fontId="24" fillId="56" borderId="51" xfId="1" applyNumberFormat="1" applyFont="1" applyFill="1" applyBorder="1" applyAlignment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3" fillId="60" borderId="0" xfId="0" applyFont="1" applyFill="1" applyAlignment="1">
      <alignment horizontal="center" vertical="center"/>
    </xf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0" fontId="23" fillId="0" borderId="0" xfId="147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A3E0"/>
      <color rgb="FFFF00FF"/>
      <color rgb="FFFFFF99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01124" cy="6115050"/>
    <xdr:pic>
      <xdr:nvPicPr>
        <xdr:cNvPr id="2" name="Picture 1">
          <a:extLst>
            <a:ext uri="{FF2B5EF4-FFF2-40B4-BE49-F238E27FC236}">
              <a16:creationId xmlns:a16="http://schemas.microsoft.com/office/drawing/2014/main" id="{588D1F91-4CE8-40E3-A7D1-979832B0B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55"/>
        <a:stretch/>
      </xdr:blipFill>
      <xdr:spPr bwMode="auto">
        <a:xfrm>
          <a:off x="0" y="0"/>
          <a:ext cx="9001124" cy="6115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9000000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A7F2A438-8A6A-4A8B-8369-AEF77A803419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0"/>
          <a:ext cx="9000000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114300</xdr:colOff>
      <xdr:row>0</xdr:row>
      <xdr:rowOff>76200</xdr:rowOff>
    </xdr:from>
    <xdr:ext cx="3599815" cy="1370330"/>
    <xdr:pic>
      <xdr:nvPicPr>
        <xdr:cNvPr id="4" name="Picture 3" descr="Text&#10;&#10;Description automatically generated">
          <a:extLst>
            <a:ext uri="{FF2B5EF4-FFF2-40B4-BE49-F238E27FC236}">
              <a16:creationId xmlns:a16="http://schemas.microsoft.com/office/drawing/2014/main" id="{D76F993A-359C-48D2-9404-AB735E01E99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3599815" cy="1370330"/>
        </a:xfrm>
        <a:prstGeom prst="rect">
          <a:avLst/>
        </a:prstGeom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5" name="Rectangle: Diagonal Corners Snipped 4">
          <a:extLst>
            <a:ext uri="{FF2B5EF4-FFF2-40B4-BE49-F238E27FC236}">
              <a16:creationId xmlns:a16="http://schemas.microsoft.com/office/drawing/2014/main" id="{BB095071-E306-490E-A302-F71D52E49950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6" name="object 9">
          <a:extLst>
            <a:ext uri="{FF2B5EF4-FFF2-40B4-BE49-F238E27FC236}">
              <a16:creationId xmlns:a16="http://schemas.microsoft.com/office/drawing/2014/main" id="{40EA9F86-15C4-4AE4-A5A8-8EFBB0EF6191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rgbClr val="00A3E0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B1F8EC0-BFD2-4586-AFC5-8B337A9561F1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January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95250</xdr:rowOff>
    </xdr:from>
    <xdr:to>
      <xdr:col>9</xdr:col>
      <xdr:colOff>57150</xdr:colOff>
      <xdr:row>30</xdr:row>
      <xdr:rowOff>152400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1AAEA79E-BD97-4E43-83B5-991ABF342EA6}"/>
            </a:ext>
          </a:extLst>
        </xdr:cNvPr>
        <xdr:cNvSpPr txBox="1"/>
      </xdr:nvSpPr>
      <xdr:spPr>
        <a:xfrm>
          <a:off x="552450" y="3495675"/>
          <a:ext cx="4991100" cy="15144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12.4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Updated CESS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Revised Final Plan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MGN%20-%20Attachment%204%20-%20Workbook%202%20-%20Selected%20Tabs%202022_JB%20Capex%20Data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>
        <row r="10">
          <cell r="R10">
            <v>21811.607255531868</v>
          </cell>
        </row>
      </sheetData>
      <sheetData sheetId="1">
        <row r="5">
          <cell r="A5">
            <v>29738</v>
          </cell>
          <cell r="F5">
            <v>674.47</v>
          </cell>
          <cell r="R5">
            <v>14177.069606736852</v>
          </cell>
          <cell r="AZ5">
            <v>250.47005466731844</v>
          </cell>
          <cell r="BC5">
            <v>1684</v>
          </cell>
          <cell r="BE5">
            <v>1240.0428428397813</v>
          </cell>
          <cell r="BG5">
            <v>4388.2665927097833</v>
          </cell>
        </row>
        <row r="6">
          <cell r="A6">
            <v>30103</v>
          </cell>
          <cell r="C6">
            <v>-11.677165054035965</v>
          </cell>
          <cell r="F6">
            <v>747.71199999999999</v>
          </cell>
          <cell r="G6">
            <v>10.859193144246593</v>
          </cell>
          <cell r="N6">
            <v>3607.4010000000003</v>
          </cell>
          <cell r="P6">
            <v>5517.3438772791578</v>
          </cell>
          <cell r="R6">
            <v>14319.002877279157</v>
          </cell>
          <cell r="S6">
            <v>1.0011467424471121</v>
          </cell>
          <cell r="X6">
            <v>-12.061810921265694</v>
          </cell>
          <cell r="AG6">
            <v>2494.8698551498615</v>
          </cell>
          <cell r="AZ6">
            <v>239.62353411377717</v>
          </cell>
          <cell r="BA6">
            <v>-4.3304659983996574</v>
          </cell>
          <cell r="BC6">
            <v>1436</v>
          </cell>
          <cell r="BD6">
            <v>-14.726840855106893</v>
          </cell>
          <cell r="BE6">
            <v>1112.5311448501388</v>
          </cell>
          <cell r="BG6">
            <v>4918.4056543223405</v>
          </cell>
        </row>
        <row r="7">
          <cell r="A7">
            <v>30468</v>
          </cell>
          <cell r="C7">
            <v>-5.8594243711860949</v>
          </cell>
          <cell r="F7">
            <v>678.60899999999992</v>
          </cell>
          <cell r="G7">
            <v>-9.241927373106229</v>
          </cell>
          <cell r="N7">
            <v>2897.0010000000002</v>
          </cell>
          <cell r="P7">
            <v>4948.8069939886018</v>
          </cell>
          <cell r="R7">
            <v>12710.420993988602</v>
          </cell>
          <cell r="S7">
            <v>-11.233895942873161</v>
          </cell>
          <cell r="U7">
            <v>7301.9083305514278</v>
          </cell>
          <cell r="X7">
            <v>-8.2448957714706754</v>
          </cell>
          <cell r="AG7">
            <v>1977.6584597456579</v>
          </cell>
          <cell r="AZ7">
            <v>325.93790661267985</v>
          </cell>
          <cell r="BA7">
            <v>36.02082442282952</v>
          </cell>
          <cell r="BC7">
            <v>2949</v>
          </cell>
          <cell r="BD7">
            <v>105.36211699164343</v>
          </cell>
          <cell r="BE7">
            <v>919.34254025434234</v>
          </cell>
          <cell r="BG7">
            <v>4528.182776042051</v>
          </cell>
        </row>
        <row r="8">
          <cell r="A8">
            <v>30834</v>
          </cell>
          <cell r="C8">
            <v>28.105013755361917</v>
          </cell>
          <cell r="F8">
            <v>659.9899999999999</v>
          </cell>
          <cell r="G8">
            <v>-2.7437007172024019</v>
          </cell>
          <cell r="N8">
            <v>3429.5619999999999</v>
          </cell>
          <cell r="P8">
            <v>4076.6062302907662</v>
          </cell>
          <cell r="R8">
            <v>13528.639230290766</v>
          </cell>
          <cell r="S8">
            <v>6.4373810803681542</v>
          </cell>
          <cell r="U8">
            <v>7517.6901765341618</v>
          </cell>
          <cell r="V8">
            <v>2.9551431792137928</v>
          </cell>
          <cell r="X8">
            <v>29.393494993358317</v>
          </cell>
          <cell r="AG8">
            <v>2025.2537053941983</v>
          </cell>
          <cell r="AZ8">
            <v>367.80657271255586</v>
          </cell>
          <cell r="BA8">
            <v>12.845595817619815</v>
          </cell>
          <cell r="BC8">
            <v>2503</v>
          </cell>
          <cell r="BD8">
            <v>-15.123770769752454</v>
          </cell>
          <cell r="BE8">
            <v>1404.3082946058016</v>
          </cell>
          <cell r="BG8">
            <v>3605.6018687417686</v>
          </cell>
        </row>
        <row r="9">
          <cell r="A9">
            <v>31199</v>
          </cell>
          <cell r="B9">
            <v>6191.6689999999999</v>
          </cell>
          <cell r="C9">
            <v>15.462768073210897</v>
          </cell>
          <cell r="D9">
            <v>40293</v>
          </cell>
          <cell r="F9">
            <v>821.59400000000005</v>
          </cell>
          <cell r="G9">
            <v>24.485825542811291</v>
          </cell>
          <cell r="N9">
            <v>3884.4339999999997</v>
          </cell>
          <cell r="P9">
            <v>4559.3479927911649</v>
          </cell>
          <cell r="R9">
            <v>15457.044992791165</v>
          </cell>
          <cell r="S9">
            <v>14.25424781956397</v>
          </cell>
          <cell r="U9">
            <v>8189.379815221766</v>
          </cell>
          <cell r="V9">
            <v>8.934787453521654</v>
          </cell>
          <cell r="W9">
            <v>5888.8986443741896</v>
          </cell>
          <cell r="X9">
            <v>17.903553677119042</v>
          </cell>
          <cell r="AA9">
            <v>6704.4788980231251</v>
          </cell>
          <cell r="AB9">
            <v>18.608673388716369</v>
          </cell>
          <cell r="AG9">
            <v>2700.6673488561291</v>
          </cell>
          <cell r="AN9">
            <v>950.47784068246972</v>
          </cell>
          <cell r="AZ9">
            <v>302.77035562581023</v>
          </cell>
          <cell r="BA9">
            <v>-17.68217914299537</v>
          </cell>
          <cell r="BC9">
            <v>2629</v>
          </cell>
          <cell r="BD9">
            <v>5.0339592489013096</v>
          </cell>
          <cell r="BE9">
            <v>1183.7666511438706</v>
          </cell>
          <cell r="BG9">
            <v>3608.870152108695</v>
          </cell>
        </row>
        <row r="10">
          <cell r="A10">
            <v>31564</v>
          </cell>
          <cell r="B10">
            <v>6078.7119999999995</v>
          </cell>
          <cell r="C10">
            <v>-1.8243384780420313</v>
          </cell>
          <cell r="D10">
            <v>35877</v>
          </cell>
          <cell r="F10">
            <v>950.84</v>
          </cell>
          <cell r="G10">
            <v>15.731127539879797</v>
          </cell>
          <cell r="N10">
            <v>4242.2469999999994</v>
          </cell>
          <cell r="P10">
            <v>4044.6261314392841</v>
          </cell>
          <cell r="R10">
            <v>15316.425131439282</v>
          </cell>
          <cell r="S10">
            <v>-0.90974608288625358</v>
          </cell>
          <cell r="U10">
            <v>8982.7725456122298</v>
          </cell>
          <cell r="V10">
            <v>9.6880685508781603</v>
          </cell>
          <cell r="W10">
            <v>5767.9286857270545</v>
          </cell>
          <cell r="X10">
            <v>-2.0542034419746851</v>
          </cell>
          <cell r="AA10">
            <v>6712.8664933207374</v>
          </cell>
          <cell r="AB10">
            <v>0.12510435822365995</v>
          </cell>
          <cell r="AG10">
            <v>3280.6243302958537</v>
          </cell>
          <cell r="AN10">
            <v>733.65933748304542</v>
          </cell>
          <cell r="AU10">
            <v>5449</v>
          </cell>
          <cell r="AV10" t="e">
            <v>#DIV/0!</v>
          </cell>
          <cell r="AW10">
            <v>336</v>
          </cell>
          <cell r="AX10">
            <v>5738</v>
          </cell>
          <cell r="AZ10">
            <v>310.78331427294506</v>
          </cell>
          <cell r="BA10">
            <v>2.6465466312157515</v>
          </cell>
          <cell r="BC10">
            <v>2202</v>
          </cell>
          <cell r="BD10">
            <v>-16.241917078737167</v>
          </cell>
          <cell r="BE10">
            <v>961.62266970414566</v>
          </cell>
          <cell r="BG10">
            <v>3310.9667939562387</v>
          </cell>
          <cell r="BI10">
            <v>3629.7250296603543</v>
          </cell>
          <cell r="BO10">
            <v>8021</v>
          </cell>
        </row>
        <row r="11">
          <cell r="A11">
            <v>31929</v>
          </cell>
          <cell r="B11">
            <v>5579.6740000000009</v>
          </cell>
          <cell r="C11">
            <v>-8.2096009812604791</v>
          </cell>
          <cell r="D11">
            <v>32536</v>
          </cell>
          <cell r="F11">
            <v>1005.597</v>
          </cell>
          <cell r="G11">
            <v>5.7588027428379096</v>
          </cell>
          <cell r="N11">
            <v>4616.2089999999998</v>
          </cell>
          <cell r="P11">
            <v>3973.0895222340946</v>
          </cell>
          <cell r="R11">
            <v>15174.569522234095</v>
          </cell>
          <cell r="S11">
            <v>-0.92616656946932219</v>
          </cell>
          <cell r="U11">
            <v>8644.6585611191604</v>
          </cell>
          <cell r="V11">
            <v>-3.7640270058738823</v>
          </cell>
          <cell r="W11">
            <v>5250.4540421620613</v>
          </cell>
          <cell r="X11">
            <v>-8.9715853256907057</v>
          </cell>
          <cell r="AA11">
            <v>6251.0988521316112</v>
          </cell>
          <cell r="AB11">
            <v>-6.8788444049733837</v>
          </cell>
          <cell r="AF11">
            <v>-4.6478149100257049</v>
          </cell>
          <cell r="AG11">
            <v>3427.6395985458248</v>
          </cell>
          <cell r="AN11">
            <v>925.22178435092701</v>
          </cell>
          <cell r="AU11">
            <v>5816</v>
          </cell>
          <cell r="AV11">
            <v>6.7351807671132358</v>
          </cell>
          <cell r="AW11">
            <v>367</v>
          </cell>
          <cell r="AX11">
            <v>6112</v>
          </cell>
          <cell r="AY11">
            <v>6.517950505402581</v>
          </cell>
          <cell r="AZ11">
            <v>329.21995783793955</v>
          </cell>
          <cell r="BA11">
            <v>5.9323144835254915</v>
          </cell>
          <cell r="BC11">
            <v>2172</v>
          </cell>
          <cell r="BD11">
            <v>-1.3623978201634857</v>
          </cell>
          <cell r="BE11">
            <v>1188.569401454175</v>
          </cell>
          <cell r="BG11">
            <v>3047.8677378831676</v>
          </cell>
          <cell r="BI11">
            <v>3257.390712794268</v>
          </cell>
          <cell r="BO11">
            <v>7592</v>
          </cell>
        </row>
        <row r="12">
          <cell r="A12">
            <v>32295</v>
          </cell>
          <cell r="B12">
            <v>5686.7839999999997</v>
          </cell>
          <cell r="C12">
            <v>1.9196462015522497</v>
          </cell>
          <cell r="D12">
            <v>31852</v>
          </cell>
          <cell r="F12">
            <v>1116.308</v>
          </cell>
          <cell r="G12">
            <v>11.009479940771506</v>
          </cell>
          <cell r="N12">
            <v>5130.2939999999999</v>
          </cell>
          <cell r="P12">
            <v>3777.272288474659</v>
          </cell>
          <cell r="R12">
            <v>15710.65828847466</v>
          </cell>
          <cell r="S12">
            <v>3.5328103736654848</v>
          </cell>
          <cell r="U12">
            <v>9123.2317346506879</v>
          </cell>
          <cell r="V12">
            <v>5.5360564000062729</v>
          </cell>
          <cell r="W12">
            <v>5405.3317332670304</v>
          </cell>
          <cell r="X12">
            <v>2.949796148319253</v>
          </cell>
          <cell r="AA12">
            <v>6516.4401231283537</v>
          </cell>
          <cell r="AB12">
            <v>4.2447140458554911</v>
          </cell>
          <cell r="AF12">
            <v>1.8117114202523377</v>
          </cell>
          <cell r="AG12">
            <v>3962.6775570325708</v>
          </cell>
          <cell r="AN12">
            <v>925.55716852080457</v>
          </cell>
          <cell r="AU12">
            <v>6424</v>
          </cell>
          <cell r="AV12">
            <v>10.453920220082535</v>
          </cell>
          <cell r="AW12">
            <v>599</v>
          </cell>
          <cell r="AX12">
            <v>6918</v>
          </cell>
          <cell r="AY12">
            <v>13.187172774869115</v>
          </cell>
          <cell r="AZ12">
            <v>281.45226673296929</v>
          </cell>
          <cell r="BA12">
            <v>-14.50935460251902</v>
          </cell>
          <cell r="BC12">
            <v>1812</v>
          </cell>
          <cell r="BD12">
            <v>-16.574585635359117</v>
          </cell>
          <cell r="BE12">
            <v>1167.6164429674291</v>
          </cell>
          <cell r="BG12">
            <v>2851.7151199538544</v>
          </cell>
          <cell r="BI12">
            <v>3041.0165602070697</v>
          </cell>
          <cell r="BO12">
            <v>6892</v>
          </cell>
        </row>
        <row r="13">
          <cell r="A13">
            <v>32660</v>
          </cell>
          <cell r="B13">
            <v>6761.7159999999994</v>
          </cell>
          <cell r="C13">
            <v>18.90228290717566</v>
          </cell>
          <cell r="D13">
            <v>38635</v>
          </cell>
          <cell r="F13">
            <v>1225.009</v>
          </cell>
          <cell r="G13">
            <v>9.7375455519444376</v>
          </cell>
          <cell r="N13">
            <v>6347.8670000000002</v>
          </cell>
          <cell r="P13">
            <v>3749.5063527783695</v>
          </cell>
          <cell r="R13">
            <v>18084.098352778368</v>
          </cell>
          <cell r="S13">
            <v>15.107196787832011</v>
          </cell>
          <cell r="U13">
            <v>10052.409203165431</v>
          </cell>
          <cell r="V13">
            <v>10.184740402741932</v>
          </cell>
          <cell r="W13">
            <v>6432.84280547241</v>
          </cell>
          <cell r="X13">
            <v>19.009213918945598</v>
          </cell>
          <cell r="AA13">
            <v>7654.0845404229403</v>
          </cell>
          <cell r="AB13">
            <v>17.458065996138352</v>
          </cell>
          <cell r="AF13">
            <v>9.1727571231861038</v>
          </cell>
          <cell r="AG13">
            <v>5106.7194581981867</v>
          </cell>
          <cell r="AN13">
            <v>995.52304056178014</v>
          </cell>
          <cell r="AU13">
            <v>7905</v>
          </cell>
          <cell r="AV13">
            <v>23.054171855541728</v>
          </cell>
          <cell r="AW13">
            <v>1030</v>
          </cell>
          <cell r="AX13">
            <v>8779</v>
          </cell>
          <cell r="AY13">
            <v>26.900838392599024</v>
          </cell>
          <cell r="AZ13">
            <v>328.87319452758948</v>
          </cell>
          <cell r="BA13">
            <v>16.848657267916511</v>
          </cell>
          <cell r="BC13">
            <v>1597</v>
          </cell>
          <cell r="BD13">
            <v>-11.865342163355407</v>
          </cell>
          <cell r="BE13">
            <v>1241.1475418018135</v>
          </cell>
          <cell r="BG13">
            <v>2753.9833122165892</v>
          </cell>
          <cell r="BI13">
            <v>3556.2286864045373</v>
          </cell>
          <cell r="BO13">
            <v>6970</v>
          </cell>
        </row>
        <row r="14">
          <cell r="A14">
            <v>33025</v>
          </cell>
          <cell r="B14">
            <v>6082.7870000000012</v>
          </cell>
          <cell r="C14">
            <v>-10.040779589086535</v>
          </cell>
          <cell r="D14">
            <v>30016</v>
          </cell>
          <cell r="F14">
            <v>1304.5930000000001</v>
          </cell>
          <cell r="G14">
            <v>6.496605331062888</v>
          </cell>
          <cell r="N14">
            <v>7054.4359999999997</v>
          </cell>
          <cell r="P14">
            <v>4591.9809824642989</v>
          </cell>
          <cell r="R14">
            <v>19033.796982464301</v>
          </cell>
          <cell r="S14">
            <v>5.2515674885169172</v>
          </cell>
          <cell r="U14">
            <v>10679</v>
          </cell>
          <cell r="V14">
            <v>6.2332400539092614</v>
          </cell>
          <cell r="W14">
            <v>5742.081316483388</v>
          </cell>
          <cell r="X14">
            <v>-10.738043970255145</v>
          </cell>
          <cell r="AA14">
            <v>7045.934416203615</v>
          </cell>
          <cell r="AB14">
            <v>-7.9454325466036817</v>
          </cell>
          <cell r="AF14">
            <v>-5.8503929368390439</v>
          </cell>
          <cell r="AG14">
            <v>5650.3238983372839</v>
          </cell>
          <cell r="AN14">
            <v>887.5817686148539</v>
          </cell>
          <cell r="AU14">
            <v>8499</v>
          </cell>
          <cell r="AV14">
            <v>7.5142314990512382</v>
          </cell>
          <cell r="AW14">
            <v>682</v>
          </cell>
          <cell r="AX14">
            <v>9174</v>
          </cell>
          <cell r="AY14">
            <v>4.4993735049549954</v>
          </cell>
          <cell r="AZ14">
            <v>340.70568351661313</v>
          </cell>
          <cell r="BA14">
            <v>3.597887935506705</v>
          </cell>
          <cell r="BC14">
            <v>1699</v>
          </cell>
          <cell r="BD14">
            <v>6.3869755792110183</v>
          </cell>
          <cell r="BE14">
            <v>1404.1121016627158</v>
          </cell>
          <cell r="BG14">
            <v>3704.399213849445</v>
          </cell>
          <cell r="BI14">
            <v>3378.0431006914523</v>
          </cell>
          <cell r="BO14">
            <v>8369</v>
          </cell>
        </row>
        <row r="15">
          <cell r="A15">
            <v>33390</v>
          </cell>
          <cell r="B15">
            <v>4498.7049999999999</v>
          </cell>
          <cell r="C15">
            <v>-26.042042899085583</v>
          </cell>
          <cell r="D15">
            <v>23580</v>
          </cell>
          <cell r="F15">
            <v>1092.645</v>
          </cell>
          <cell r="G15">
            <v>-16.246292905143601</v>
          </cell>
          <cell r="N15">
            <v>5713.6450000000004</v>
          </cell>
          <cell r="P15">
            <v>4301.8955756710784</v>
          </cell>
          <cell r="R15">
            <v>15606.890575671079</v>
          </cell>
          <cell r="S15">
            <v>-18.004323624710327</v>
          </cell>
          <cell r="U15">
            <v>9109</v>
          </cell>
          <cell r="V15">
            <v>-14.701751100290295</v>
          </cell>
          <cell r="W15">
            <v>4206.3860914972338</v>
          </cell>
          <cell r="X15">
            <v>-26.744574664551372</v>
          </cell>
          <cell r="AA15">
            <v>5295.5470642302807</v>
          </cell>
          <cell r="AB15">
            <v>-24.842515535596654</v>
          </cell>
          <cell r="AF15">
            <v>-21.104699093157464</v>
          </cell>
          <cell r="AG15">
            <v>4143.1701576652495</v>
          </cell>
          <cell r="AN15">
            <v>769.20410466726594</v>
          </cell>
          <cell r="AU15">
            <v>6455</v>
          </cell>
          <cell r="AV15">
            <v>-24.049888222143778</v>
          </cell>
          <cell r="AW15">
            <v>145</v>
          </cell>
          <cell r="AX15">
            <v>6659</v>
          </cell>
          <cell r="AY15">
            <v>-27.414432090691086</v>
          </cell>
          <cell r="AZ15">
            <v>292.31890850276613</v>
          </cell>
          <cell r="BA15">
            <v>-14.201927750197807</v>
          </cell>
          <cell r="BC15">
            <v>1665</v>
          </cell>
          <cell r="BD15">
            <v>-2.0011771630370823</v>
          </cell>
          <cell r="BE15">
            <v>1570.474842334751</v>
          </cell>
          <cell r="BG15">
            <v>3532.6914710038127</v>
          </cell>
          <cell r="BI15">
            <v>1884.0307508917176</v>
          </cell>
          <cell r="BO15">
            <v>7191</v>
          </cell>
        </row>
        <row r="16">
          <cell r="A16">
            <v>33756</v>
          </cell>
          <cell r="B16">
            <v>4201.9710000000005</v>
          </cell>
          <cell r="C16">
            <v>-6.5959870673893857</v>
          </cell>
          <cell r="D16">
            <v>25421</v>
          </cell>
          <cell r="F16">
            <v>1069.1369999999999</v>
          </cell>
          <cell r="G16">
            <v>-2.151476463078128</v>
          </cell>
          <cell r="N16">
            <v>4216.0429999999997</v>
          </cell>
          <cell r="P16">
            <v>3474.8509497588448</v>
          </cell>
          <cell r="R16">
            <v>12962.001949758844</v>
          </cell>
          <cell r="S16">
            <v>-16.946928749761604</v>
          </cell>
          <cell r="U16">
            <v>7689</v>
          </cell>
          <cell r="V16">
            <v>-15.588977933911519</v>
          </cell>
          <cell r="W16">
            <v>3957.4323208662631</v>
          </cell>
          <cell r="X16">
            <v>-5.9184717050630349</v>
          </cell>
          <cell r="AA16">
            <v>5025.2170944991703</v>
          </cell>
          <cell r="AB16">
            <v>-5.1048544456738458</v>
          </cell>
          <cell r="AF16">
            <v>-5.1332288401253923</v>
          </cell>
          <cell r="AG16">
            <v>2952.4765773376103</v>
          </cell>
          <cell r="AN16">
            <v>625.86682556831306</v>
          </cell>
          <cell r="AU16">
            <v>4873</v>
          </cell>
          <cell r="AV16">
            <v>-24.50813323005422</v>
          </cell>
          <cell r="AW16">
            <v>209</v>
          </cell>
          <cell r="AX16">
            <v>5090</v>
          </cell>
          <cell r="AY16">
            <v>-23.562096410872503</v>
          </cell>
          <cell r="AZ16">
            <v>244.53867913373733</v>
          </cell>
          <cell r="BA16">
            <v>-16.345240755637491</v>
          </cell>
          <cell r="BC16">
            <v>1707</v>
          </cell>
          <cell r="BD16">
            <v>2.522522522522519</v>
          </cell>
          <cell r="BE16">
            <v>1263.5664226623894</v>
          </cell>
          <cell r="BG16">
            <v>2848.9841241905315</v>
          </cell>
          <cell r="BI16">
            <v>2751.5585476462493</v>
          </cell>
          <cell r="BO16">
            <v>7061</v>
          </cell>
        </row>
        <row r="17">
          <cell r="A17">
            <v>34121</v>
          </cell>
          <cell r="B17">
            <v>4890.223</v>
          </cell>
          <cell r="C17">
            <v>16.379265825489988</v>
          </cell>
          <cell r="D17">
            <v>28154</v>
          </cell>
          <cell r="F17">
            <v>1145.2429999999999</v>
          </cell>
          <cell r="G17">
            <v>7.1184516109722207</v>
          </cell>
          <cell r="N17">
            <v>3713.4340000000002</v>
          </cell>
          <cell r="P17">
            <v>3773.672009138003</v>
          </cell>
          <cell r="R17">
            <v>13522.572009138003</v>
          </cell>
          <cell r="S17">
            <v>4.3247182152259089</v>
          </cell>
          <cell r="U17">
            <v>8319</v>
          </cell>
          <cell r="V17">
            <v>8.1935232149824344</v>
          </cell>
          <cell r="W17">
            <v>4622.8566807341513</v>
          </cell>
          <cell r="X17">
            <v>16.814548068436199</v>
          </cell>
          <cell r="AA17">
            <v>5767.3289244816597</v>
          </cell>
          <cell r="AB17">
            <v>14.767756616820371</v>
          </cell>
          <cell r="AF17">
            <v>15.517003992840417</v>
          </cell>
          <cell r="AG17">
            <v>2785.996939226301</v>
          </cell>
          <cell r="AN17">
            <v>727.91455342109214</v>
          </cell>
          <cell r="AU17">
            <v>4822</v>
          </cell>
          <cell r="AV17">
            <v>-1.0465832136261066</v>
          </cell>
          <cell r="AW17">
            <v>1130</v>
          </cell>
          <cell r="AX17">
            <v>5726</v>
          </cell>
          <cell r="AY17">
            <v>12.495088408644396</v>
          </cell>
          <cell r="AZ17">
            <v>267.36631926584869</v>
          </cell>
          <cell r="BA17">
            <v>9.3349813669464599</v>
          </cell>
          <cell r="BC17">
            <v>1367</v>
          </cell>
          <cell r="BD17">
            <v>-19.917984768599883</v>
          </cell>
          <cell r="BE17">
            <v>927.43706077369916</v>
          </cell>
          <cell r="BG17">
            <v>3045.757455716911</v>
          </cell>
          <cell r="BI17">
            <v>3079.6684079910501</v>
          </cell>
          <cell r="BO17">
            <v>6138</v>
          </cell>
        </row>
        <row r="18">
          <cell r="A18">
            <v>34486</v>
          </cell>
          <cell r="B18">
            <v>5426.5010000000002</v>
          </cell>
          <cell r="C18">
            <v>10.966330165311478</v>
          </cell>
          <cell r="D18">
            <v>31466</v>
          </cell>
          <cell r="F18">
            <v>1267.2429999999999</v>
          </cell>
          <cell r="G18">
            <v>10.652761029755254</v>
          </cell>
          <cell r="N18">
            <v>3517.5889999999999</v>
          </cell>
          <cell r="P18">
            <v>4189.978546616434</v>
          </cell>
          <cell r="R18">
            <v>14401.311546616434</v>
          </cell>
          <cell r="S18">
            <v>6.4983165693968337</v>
          </cell>
          <cell r="U18">
            <v>8982</v>
          </cell>
          <cell r="V18">
            <v>7.9697078975838442</v>
          </cell>
          <cell r="W18">
            <v>5146.6363644637258</v>
          </cell>
          <cell r="X18">
            <v>11.330216788083373</v>
          </cell>
          <cell r="AA18">
            <v>6411.2124311584521</v>
          </cell>
          <cell r="AB18">
            <v>11.16432780422112</v>
          </cell>
          <cell r="AF18">
            <v>15.804529201430274</v>
          </cell>
          <cell r="AG18">
            <v>2526.3429200546316</v>
          </cell>
          <cell r="AN18">
            <v>1078.6168435948171</v>
          </cell>
          <cell r="AU18">
            <v>4867</v>
          </cell>
          <cell r="AV18">
            <v>0.93322272915803417</v>
          </cell>
          <cell r="AW18">
            <v>416</v>
          </cell>
          <cell r="AX18">
            <v>5245</v>
          </cell>
          <cell r="AY18">
            <v>-8.4002794271742953</v>
          </cell>
          <cell r="AZ18">
            <v>279.86463553627436</v>
          </cell>
          <cell r="BA18">
            <v>4.6746038561417791</v>
          </cell>
          <cell r="BC18">
            <v>1366</v>
          </cell>
          <cell r="BD18">
            <v>-7.3152889539140897E-2</v>
          </cell>
          <cell r="BE18">
            <v>991.24607994536836</v>
          </cell>
          <cell r="BG18">
            <v>3111.3617030216169</v>
          </cell>
          <cell r="BI18">
            <v>2687.8606481914671</v>
          </cell>
          <cell r="BO18">
            <v>6833</v>
          </cell>
        </row>
        <row r="19">
          <cell r="A19">
            <v>34851</v>
          </cell>
          <cell r="B19">
            <v>5426.0079999999998</v>
          </cell>
          <cell r="C19">
            <v>-9.0850439353196144E-3</v>
          </cell>
          <cell r="D19">
            <v>29459</v>
          </cell>
          <cell r="F19">
            <v>1342.2150000000001</v>
          </cell>
          <cell r="G19">
            <v>5.9161502568962909</v>
          </cell>
          <cell r="N19">
            <v>4129.893</v>
          </cell>
          <cell r="P19">
            <v>4266.4548539426278</v>
          </cell>
          <cell r="R19">
            <v>15164.570853942629</v>
          </cell>
          <cell r="S19">
            <v>5.2999291408671878</v>
          </cell>
          <cell r="U19">
            <v>9259</v>
          </cell>
          <cell r="V19">
            <v>3.0839456691160061</v>
          </cell>
          <cell r="W19">
            <v>5185.5276457299324</v>
          </cell>
          <cell r="X19">
            <v>0.75566405924345825</v>
          </cell>
          <cell r="AA19">
            <v>6518.0299079161869</v>
          </cell>
          <cell r="AB19">
            <v>1.6661041558785783</v>
          </cell>
          <cell r="AF19">
            <v>-1.0086455331412059</v>
          </cell>
          <cell r="AG19">
            <v>2848.2654845694424</v>
          </cell>
          <cell r="AN19">
            <v>739.30880475155459</v>
          </cell>
          <cell r="AU19">
            <v>5451</v>
          </cell>
          <cell r="AV19">
            <v>11.999178138483657</v>
          </cell>
          <cell r="AW19">
            <v>-326</v>
          </cell>
          <cell r="AX19">
            <v>5275</v>
          </cell>
          <cell r="AY19">
            <v>0.57197330791229906</v>
          </cell>
          <cell r="AZ19">
            <v>240.48035427006744</v>
          </cell>
          <cell r="BA19">
            <v>-14.072618067923838</v>
          </cell>
          <cell r="BC19">
            <v>1043</v>
          </cell>
          <cell r="BD19">
            <v>-23.645680819912151</v>
          </cell>
          <cell r="BE19">
            <v>1281.6275154305577</v>
          </cell>
          <cell r="BG19">
            <v>3527.146049191073</v>
          </cell>
          <cell r="BI19">
            <v>2287.0333432945563</v>
          </cell>
          <cell r="BO19">
            <v>7889</v>
          </cell>
        </row>
        <row r="20">
          <cell r="A20">
            <v>35217</v>
          </cell>
          <cell r="B20">
            <v>4740.8410000000003</v>
          </cell>
          <cell r="C20">
            <v>-12.627460188042472</v>
          </cell>
          <cell r="D20">
            <v>23675</v>
          </cell>
          <cell r="F20">
            <v>1302.204</v>
          </cell>
          <cell r="G20">
            <v>-2.9809680267319449</v>
          </cell>
          <cell r="N20">
            <v>4912.1759999999995</v>
          </cell>
          <cell r="P20">
            <v>4063.0646460801809</v>
          </cell>
          <cell r="R20">
            <v>15018.28564608018</v>
          </cell>
          <cell r="S20">
            <v>-0.96465115479622554</v>
          </cell>
          <cell r="U20">
            <v>9365</v>
          </cell>
          <cell r="V20">
            <v>1.14483205529754</v>
          </cell>
          <cell r="W20">
            <v>4469.5637322330876</v>
          </cell>
          <cell r="X20">
            <v>-13.80696358038726</v>
          </cell>
          <cell r="AA20">
            <v>5709.9918127328519</v>
          </cell>
          <cell r="AB20">
            <v>-12.396968203566662</v>
          </cell>
          <cell r="AF20">
            <v>-6.8101476398419685</v>
          </cell>
          <cell r="AG20">
            <v>3610.7800999297565</v>
          </cell>
          <cell r="AN20">
            <v>980.33901798803595</v>
          </cell>
          <cell r="AU20">
            <v>6867</v>
          </cell>
          <cell r="AV20">
            <v>25.976884975233894</v>
          </cell>
          <cell r="AW20">
            <v>373</v>
          </cell>
          <cell r="AX20">
            <v>7208</v>
          </cell>
          <cell r="AY20">
            <v>36.644549763033176</v>
          </cell>
          <cell r="AZ20">
            <v>271.2772677669127</v>
          </cell>
          <cell r="BA20">
            <v>12.8064155553677</v>
          </cell>
          <cell r="BC20">
            <v>1531</v>
          </cell>
          <cell r="BD20">
            <v>46.788111217641415</v>
          </cell>
          <cell r="BE20">
            <v>1301.395900070243</v>
          </cell>
          <cell r="BG20">
            <v>3082.7256280921447</v>
          </cell>
          <cell r="BI20">
            <v>2436.8252845704646</v>
          </cell>
          <cell r="BO20">
            <v>6984</v>
          </cell>
        </row>
        <row r="21">
          <cell r="A21">
            <v>35582</v>
          </cell>
          <cell r="B21">
            <v>4774.0490000000009</v>
          </cell>
          <cell r="C21">
            <v>0.70046643622936333</v>
          </cell>
          <cell r="D21">
            <v>24699</v>
          </cell>
          <cell r="F21">
            <v>1436.7570000000001</v>
          </cell>
          <cell r="G21">
            <v>10.332712846835058</v>
          </cell>
          <cell r="N21">
            <v>5417.3019999999997</v>
          </cell>
          <cell r="P21">
            <v>4222.7031392601739</v>
          </cell>
          <cell r="R21">
            <v>15850.811139260175</v>
          </cell>
          <cell r="S21">
            <v>5.5434122961783405</v>
          </cell>
          <cell r="U21">
            <v>10283</v>
          </cell>
          <cell r="V21">
            <v>9.8024559530165423</v>
          </cell>
          <cell r="W21">
            <v>4572.1370413256955</v>
          </cell>
          <cell r="X21">
            <v>2.2949288842864322</v>
          </cell>
          <cell r="AA21">
            <v>5940.8595160640107</v>
          </cell>
          <cell r="AB21">
            <v>4.0432230185749374</v>
          </cell>
          <cell r="AF21">
            <v>7.4528617650340356</v>
          </cell>
          <cell r="AG21">
            <v>4253.0487756742541</v>
          </cell>
          <cell r="AN21">
            <v>1603.5779114623606</v>
          </cell>
          <cell r="AU21">
            <v>8766</v>
          </cell>
          <cell r="AV21">
            <v>27.653997378768015</v>
          </cell>
          <cell r="AW21">
            <v>734</v>
          </cell>
          <cell r="AX21">
            <v>9376</v>
          </cell>
          <cell r="AY21">
            <v>30.077691453940059</v>
          </cell>
          <cell r="AZ21">
            <v>201.91195867430542</v>
          </cell>
          <cell r="BA21">
            <v>-25.569893734040207</v>
          </cell>
          <cell r="BC21">
            <v>668</v>
          </cell>
          <cell r="BD21">
            <v>-56.368386675375568</v>
          </cell>
          <cell r="BE21">
            <v>1164.2532243257456</v>
          </cell>
          <cell r="BG21">
            <v>2619.1252277978133</v>
          </cell>
          <cell r="BI21">
            <v>2412.6750639404513</v>
          </cell>
          <cell r="BO21">
            <v>5371</v>
          </cell>
        </row>
        <row r="22">
          <cell r="A22">
            <v>35947</v>
          </cell>
          <cell r="B22">
            <v>6473.0580000000009</v>
          </cell>
          <cell r="C22">
            <v>35.58842818747776</v>
          </cell>
          <cell r="D22">
            <v>33602</v>
          </cell>
          <cell r="F22">
            <v>1677.4490000000001</v>
          </cell>
          <cell r="G22">
            <v>16.752450135965937</v>
          </cell>
          <cell r="N22">
            <v>4811.6669999999995</v>
          </cell>
          <cell r="P22">
            <v>5296.4620075449475</v>
          </cell>
          <cell r="R22">
            <v>18258.636007544948</v>
          </cell>
          <cell r="S22">
            <v>15.19054669903257</v>
          </cell>
          <cell r="U22">
            <v>11268</v>
          </cell>
          <cell r="V22">
            <v>9.5789166585626759</v>
          </cell>
          <cell r="W22">
            <v>6287.1151143094039</v>
          </cell>
          <cell r="X22">
            <v>37.509332233104914</v>
          </cell>
          <cell r="AA22">
            <v>7872.1910371265694</v>
          </cell>
          <cell r="AB22">
            <v>32.509294586755708</v>
          </cell>
          <cell r="AF22">
            <v>28.086387706364867</v>
          </cell>
          <cell r="AG22">
            <v>3641.0379638668651</v>
          </cell>
          <cell r="AN22">
            <v>2568.5681707263434</v>
          </cell>
          <cell r="AU22">
            <v>8703</v>
          </cell>
          <cell r="AV22">
            <v>-0.71868583162217892</v>
          </cell>
          <cell r="AW22">
            <v>316</v>
          </cell>
          <cell r="AX22">
            <v>8982</v>
          </cell>
          <cell r="AY22">
            <v>-4.202218430034133</v>
          </cell>
          <cell r="AZ22">
            <v>185.942885690597</v>
          </cell>
          <cell r="BA22">
            <v>-7.9089287670510817</v>
          </cell>
          <cell r="BC22">
            <v>841</v>
          </cell>
          <cell r="BD22">
            <v>25.898203592814362</v>
          </cell>
          <cell r="BE22">
            <v>1170.6290361331344</v>
          </cell>
          <cell r="BG22">
            <v>2727.8938368186041</v>
          </cell>
          <cell r="BI22">
            <v>2524.16116417483</v>
          </cell>
          <cell r="BO22">
            <v>6530</v>
          </cell>
        </row>
        <row r="23">
          <cell r="A23">
            <v>36312</v>
          </cell>
          <cell r="B23">
            <v>7652.6409999999987</v>
          </cell>
          <cell r="C23">
            <v>18.222963551384797</v>
          </cell>
          <cell r="D23">
            <v>37472</v>
          </cell>
          <cell r="F23">
            <v>1802.5700000000002</v>
          </cell>
          <cell r="G23">
            <v>7.4590047148974437</v>
          </cell>
          <cell r="N23">
            <v>5599.0209999999997</v>
          </cell>
          <cell r="P23">
            <v>6484.0325977741068</v>
          </cell>
          <cell r="R23">
            <v>21538.264597774105</v>
          </cell>
          <cell r="S23">
            <v>17.962067861333828</v>
          </cell>
          <cell r="U23">
            <v>13119</v>
          </cell>
          <cell r="V23">
            <v>16.427050053248138</v>
          </cell>
          <cell r="W23">
            <v>7394.666243981419</v>
          </cell>
          <cell r="X23">
            <v>17.616205676769638</v>
          </cell>
          <cell r="AA23">
            <v>9119.8815144004857</v>
          </cell>
          <cell r="AB23">
            <v>15.849341960701913</v>
          </cell>
          <cell r="AF23">
            <v>8.4225032425421453</v>
          </cell>
          <cell r="AG23">
            <v>4306.2954308823118</v>
          </cell>
          <cell r="AN23">
            <v>3558.6665390612839</v>
          </cell>
          <cell r="AU23">
            <v>11135</v>
          </cell>
          <cell r="AV23">
            <v>27.944386992990932</v>
          </cell>
          <cell r="AW23">
            <v>661</v>
          </cell>
          <cell r="AX23">
            <v>11672</v>
          </cell>
          <cell r="AY23">
            <v>29.948786461812517</v>
          </cell>
          <cell r="AZ23">
            <v>257.97475601857968</v>
          </cell>
          <cell r="BA23">
            <v>38.738707351160187</v>
          </cell>
          <cell r="BC23">
            <v>1082</v>
          </cell>
          <cell r="BD23">
            <v>28.656361474435201</v>
          </cell>
          <cell r="BE23">
            <v>1292.7255691176879</v>
          </cell>
          <cell r="BG23">
            <v>2925.3660587128229</v>
          </cell>
          <cell r="BI23">
            <v>3772.5788865699756</v>
          </cell>
          <cell r="BO23">
            <v>8153</v>
          </cell>
        </row>
        <row r="24">
          <cell r="A24">
            <v>36678</v>
          </cell>
          <cell r="B24">
            <v>9662.6990000000005</v>
          </cell>
          <cell r="C24">
            <v>26.266200126204819</v>
          </cell>
          <cell r="D24">
            <v>46441</v>
          </cell>
          <cell r="F24">
            <v>2137.58</v>
          </cell>
          <cell r="G24">
            <v>18.585131229300366</v>
          </cell>
          <cell r="N24">
            <v>5211.5860000000002</v>
          </cell>
          <cell r="P24">
            <v>5560.9112706784608</v>
          </cell>
          <cell r="R24">
            <v>22572.776270678463</v>
          </cell>
          <cell r="S24">
            <v>4.8031338282067182</v>
          </cell>
          <cell r="U24">
            <v>13550</v>
          </cell>
          <cell r="V24">
            <v>3.285311380440592</v>
          </cell>
          <cell r="W24">
            <v>9438.8916833652183</v>
          </cell>
          <cell r="X24">
            <v>27.644593710332927</v>
          </cell>
          <cell r="AA24">
            <v>11502.762899208617</v>
          </cell>
          <cell r="AB24">
            <v>26.128424816106556</v>
          </cell>
          <cell r="AF24">
            <v>20.164485981308424</v>
          </cell>
          <cell r="AG24">
            <v>4050.6113413371449</v>
          </cell>
          <cell r="AN24">
            <v>2822.6063514238094</v>
          </cell>
          <cell r="AU24">
            <v>10451</v>
          </cell>
          <cell r="AV24">
            <v>-6.1427929950606197</v>
          </cell>
          <cell r="AW24">
            <v>-64</v>
          </cell>
          <cell r="AX24">
            <v>10443</v>
          </cell>
          <cell r="AY24">
            <v>-10.529472241261139</v>
          </cell>
          <cell r="AZ24">
            <v>223.80731663478218</v>
          </cell>
          <cell r="BA24">
            <v>-13.244489465216013</v>
          </cell>
          <cell r="BC24">
            <v>670</v>
          </cell>
          <cell r="BD24">
            <v>-38.077634011090581</v>
          </cell>
          <cell r="BE24">
            <v>1160.9746586628553</v>
          </cell>
          <cell r="BG24">
            <v>2738.3049192546514</v>
          </cell>
          <cell r="BI24">
            <v>3376.2043212911112</v>
          </cell>
          <cell r="BO24">
            <v>8147</v>
          </cell>
        </row>
        <row r="25">
          <cell r="A25">
            <v>37043</v>
          </cell>
          <cell r="B25">
            <v>7859.1189999999997</v>
          </cell>
          <cell r="C25">
            <v>-18.665385313151127</v>
          </cell>
          <cell r="D25">
            <v>33688</v>
          </cell>
          <cell r="F25">
            <v>1760.4770000000001</v>
          </cell>
          <cell r="G25">
            <v>-17.641585344174249</v>
          </cell>
          <cell r="N25">
            <v>5135.9129999999996</v>
          </cell>
          <cell r="P25">
            <v>5015.7640210166928</v>
          </cell>
          <cell r="R25">
            <v>19771.273021016692</v>
          </cell>
          <cell r="S25">
            <v>-12.410982220653388</v>
          </cell>
          <cell r="U25">
            <v>12879</v>
          </cell>
          <cell r="V25">
            <v>-4.9520295202951985</v>
          </cell>
          <cell r="W25">
            <v>7715.9323262899661</v>
          </cell>
          <cell r="X25">
            <v>-18.253831221643715</v>
          </cell>
          <cell r="AA25">
            <v>9367.5842381853345</v>
          </cell>
          <cell r="AB25">
            <v>-18.562311331047098</v>
          </cell>
          <cell r="AF25">
            <v>-14.142608262817324</v>
          </cell>
          <cell r="AG25">
            <v>3894.024641015078</v>
          </cell>
          <cell r="AN25">
            <v>2557.052167105277</v>
          </cell>
          <cell r="AU25">
            <v>9630</v>
          </cell>
          <cell r="AV25">
            <v>-7.855707587790639</v>
          </cell>
          <cell r="AW25">
            <v>39</v>
          </cell>
          <cell r="AX25">
            <v>9712</v>
          </cell>
          <cell r="AY25">
            <v>-6.9999042420760276</v>
          </cell>
          <cell r="AZ25">
            <v>143.18667371003357</v>
          </cell>
          <cell r="BA25">
            <v>-36.022344638673552</v>
          </cell>
          <cell r="BC25">
            <v>394</v>
          </cell>
          <cell r="BD25">
            <v>-41.194029850746276</v>
          </cell>
          <cell r="BE25">
            <v>1241.8883589849215</v>
          </cell>
          <cell r="BG25">
            <v>2458.7118539114158</v>
          </cell>
          <cell r="BI25">
            <v>2820.3880252889981</v>
          </cell>
          <cell r="BO25">
            <v>7497</v>
          </cell>
        </row>
        <row r="26">
          <cell r="A26">
            <v>37408</v>
          </cell>
          <cell r="B26">
            <v>9411.9340000000011</v>
          </cell>
          <cell r="C26">
            <v>19.758130650522034</v>
          </cell>
          <cell r="D26">
            <v>46331</v>
          </cell>
          <cell r="F26">
            <v>2054.2049999999999</v>
          </cell>
          <cell r="G26">
            <v>16.684569011693974</v>
          </cell>
          <cell r="N26">
            <v>5555.4110000000001</v>
          </cell>
          <cell r="P26">
            <v>5187.9318966746723</v>
          </cell>
          <cell r="R26">
            <v>22209.481896674675</v>
          </cell>
          <cell r="S26">
            <v>12.332078329332607</v>
          </cell>
          <cell r="U26">
            <v>14527</v>
          </cell>
          <cell r="V26">
            <v>12.796024536066476</v>
          </cell>
          <cell r="W26">
            <v>9208.5413798029767</v>
          </cell>
          <cell r="X26">
            <v>19.344506799617026</v>
          </cell>
          <cell r="AA26">
            <v>11137.844389016571</v>
          </cell>
          <cell r="AB26">
            <v>18.897723317128843</v>
          </cell>
          <cell r="AF26">
            <v>17.689687658525987</v>
          </cell>
          <cell r="AG26">
            <v>4249.5151485828974</v>
          </cell>
          <cell r="AN26">
            <v>2890.660270229957</v>
          </cell>
          <cell r="AU26">
            <v>10613</v>
          </cell>
          <cell r="AV26">
            <v>10.207684319833854</v>
          </cell>
          <cell r="AW26">
            <v>-445</v>
          </cell>
          <cell r="AX26">
            <v>10307</v>
          </cell>
          <cell r="AY26">
            <v>6.1264415156507379</v>
          </cell>
          <cell r="AZ26">
            <v>203.39262019702437</v>
          </cell>
          <cell r="BA26">
            <v>42.047171658525627</v>
          </cell>
          <cell r="BC26">
            <v>775</v>
          </cell>
          <cell r="BD26">
            <v>96.700507614213208</v>
          </cell>
          <cell r="BE26">
            <v>1305.8958514171027</v>
          </cell>
          <cell r="BG26">
            <v>2297.2716264447154</v>
          </cell>
          <cell r="BI26">
            <v>3292.5379111547518</v>
          </cell>
          <cell r="BO26">
            <v>8465</v>
          </cell>
        </row>
      </sheetData>
      <sheetData sheetId="2">
        <row r="14">
          <cell r="I14">
            <v>-11.519771608665696</v>
          </cell>
        </row>
      </sheetData>
      <sheetData sheetId="3">
        <row r="7">
          <cell r="H7">
            <v>1152.5380000000002</v>
          </cell>
        </row>
        <row r="10">
          <cell r="BI10">
            <v>1295.7683235747779</v>
          </cell>
        </row>
        <row r="11">
          <cell r="BI11">
            <v>1026.5715434102922</v>
          </cell>
          <cell r="BJ11">
            <v>-20.775070301288356</v>
          </cell>
        </row>
        <row r="12">
          <cell r="BI12">
            <v>978.44474075197741</v>
          </cell>
          <cell r="BJ12">
            <v>-4.6881099488143345</v>
          </cell>
        </row>
        <row r="13">
          <cell r="BI13">
            <v>1307.6143385514627</v>
          </cell>
          <cell r="BJ13">
            <v>33.642124495094535</v>
          </cell>
        </row>
        <row r="14">
          <cell r="BI14">
            <v>1594.539547108956</v>
          </cell>
          <cell r="BJ14">
            <v>21.942647774522015</v>
          </cell>
        </row>
        <row r="15">
          <cell r="BI15">
            <v>1501.490612555378</v>
          </cell>
          <cell r="BJ15">
            <v>-5.8354736150811775</v>
          </cell>
        </row>
        <row r="16">
          <cell r="BI16">
            <v>1768.4353928341377</v>
          </cell>
          <cell r="BJ16">
            <v>17.778651298022297</v>
          </cell>
        </row>
        <row r="17">
          <cell r="BI17">
            <v>1382.9908966467456</v>
          </cell>
          <cell r="BJ17">
            <v>-21.795791791390773</v>
          </cell>
        </row>
        <row r="18">
          <cell r="BI18">
            <v>1161.0995295457906</v>
          </cell>
          <cell r="BJ18">
            <v>-16.044311472979434</v>
          </cell>
        </row>
        <row r="19">
          <cell r="BI19">
            <v>1346.313890014254</v>
          </cell>
          <cell r="BJ19">
            <v>15.951635131651232</v>
          </cell>
        </row>
        <row r="20">
          <cell r="BI20">
            <v>1463.8141293961721</v>
          </cell>
          <cell r="BJ20">
            <v>8.7275515950202553</v>
          </cell>
        </row>
        <row r="21">
          <cell r="BI21">
            <v>1451.489231396738</v>
          </cell>
          <cell r="BJ21">
            <v>-0.84197151482054977</v>
          </cell>
        </row>
        <row r="22">
          <cell r="BI22">
            <v>1437.6871753234377</v>
          </cell>
          <cell r="BJ22">
            <v>-0.9508893193798551</v>
          </cell>
        </row>
        <row r="23">
          <cell r="BI23">
            <v>1108.7931793889329</v>
          </cell>
          <cell r="BJ23">
            <v>-22.876603588017208</v>
          </cell>
        </row>
        <row r="24">
          <cell r="BI24">
            <v>3435.4695549675898</v>
          </cell>
          <cell r="BJ24">
            <v>209.83862624956907</v>
          </cell>
        </row>
        <row r="25">
          <cell r="BI25">
            <v>1959.3274936649882</v>
          </cell>
          <cell r="BJ25">
            <v>-42.967694450039374</v>
          </cell>
        </row>
        <row r="26">
          <cell r="BI26">
            <v>906.73917140408662</v>
          </cell>
          <cell r="BJ26">
            <v>-53.721918651383781</v>
          </cell>
        </row>
      </sheetData>
      <sheetData sheetId="4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606.34326691207525</v>
          </cell>
        </row>
        <row r="11">
          <cell r="A11">
            <v>1987</v>
          </cell>
          <cell r="BI11">
            <v>804.87719605902385</v>
          </cell>
          <cell r="BJ11">
            <v>32.742827368731668</v>
          </cell>
        </row>
        <row r="12">
          <cell r="A12">
            <v>1988</v>
          </cell>
          <cell r="BI12">
            <v>596.94495264173952</v>
          </cell>
          <cell r="BJ12">
            <v>-25.834033369984567</v>
          </cell>
        </row>
        <row r="13">
          <cell r="A13">
            <v>1989</v>
          </cell>
          <cell r="BI13">
            <v>945.26970840044009</v>
          </cell>
          <cell r="BJ13">
            <v>58.351235606769578</v>
          </cell>
        </row>
        <row r="14">
          <cell r="A14">
            <v>1990</v>
          </cell>
          <cell r="BI14">
            <v>1361.1328703797928</v>
          </cell>
          <cell r="BJ14">
            <v>43.994127631897271</v>
          </cell>
        </row>
        <row r="15">
          <cell r="A15">
            <v>1991</v>
          </cell>
          <cell r="BI15">
            <v>951.33761938369025</v>
          </cell>
          <cell r="BJ15">
            <v>-30.106924894243324</v>
          </cell>
        </row>
        <row r="16">
          <cell r="A16">
            <v>1992</v>
          </cell>
          <cell r="BI16">
            <v>889.26603620846936</v>
          </cell>
          <cell r="BJ16">
            <v>-6.5246640005083627</v>
          </cell>
        </row>
        <row r="17">
          <cell r="A17">
            <v>1993</v>
          </cell>
          <cell r="BI17">
            <v>835.6687399049365</v>
          </cell>
          <cell r="BJ17">
            <v>-6.0271385750943152</v>
          </cell>
        </row>
        <row r="18">
          <cell r="A18">
            <v>1994</v>
          </cell>
          <cell r="BI18">
            <v>616.21420909504081</v>
          </cell>
          <cell r="BJ18">
            <v>-26.260947709359129</v>
          </cell>
        </row>
        <row r="19">
          <cell r="A19">
            <v>1995</v>
          </cell>
          <cell r="BI19">
            <v>1113.1335128977053</v>
          </cell>
          <cell r="BJ19">
            <v>80.640675996814437</v>
          </cell>
        </row>
        <row r="20">
          <cell r="A20">
            <v>1996</v>
          </cell>
          <cell r="BI20">
            <v>947.21084429593157</v>
          </cell>
          <cell r="BJ20">
            <v>-14.905909010846718</v>
          </cell>
        </row>
        <row r="21">
          <cell r="A21">
            <v>1997</v>
          </cell>
          <cell r="BI21">
            <v>1155.2598719141984</v>
          </cell>
          <cell r="BJ21">
            <v>21.964384051463327</v>
          </cell>
        </row>
        <row r="22">
          <cell r="A22">
            <v>1998</v>
          </cell>
          <cell r="BI22">
            <v>2608.9721885997092</v>
          </cell>
          <cell r="BJ22">
            <v>125.83422587653756</v>
          </cell>
        </row>
        <row r="23">
          <cell r="A23">
            <v>1999</v>
          </cell>
          <cell r="BI23">
            <v>1193.1323774716457</v>
          </cell>
          <cell r="BJ23">
            <v>-54.268106701741992</v>
          </cell>
        </row>
        <row r="24">
          <cell r="A24">
            <v>2000</v>
          </cell>
          <cell r="BI24">
            <v>1156.4157775404333</v>
          </cell>
          <cell r="BJ24">
            <v>-3.0773282683869585</v>
          </cell>
        </row>
        <row r="25">
          <cell r="A25">
            <v>2001</v>
          </cell>
          <cell r="BI25">
            <v>1495.4474453871371</v>
          </cell>
          <cell r="BJ25">
            <v>29.317454364708361</v>
          </cell>
        </row>
        <row r="26">
          <cell r="A26">
            <v>2002</v>
          </cell>
          <cell r="BI26">
            <v>946.98957305855538</v>
          </cell>
          <cell r="BJ26">
            <v>-36.675168627313312</v>
          </cell>
        </row>
      </sheetData>
      <sheetData sheetId="5">
        <row r="5">
          <cell r="AG5">
            <v>278.90908783783777</v>
          </cell>
          <cell r="AN5">
            <v>166.74272482427213</v>
          </cell>
        </row>
        <row r="6">
          <cell r="AG6">
            <v>226.85773076923073</v>
          </cell>
          <cell r="AN6">
            <v>70.623101119624664</v>
          </cell>
        </row>
        <row r="7">
          <cell r="AG7">
            <v>134.49534452736319</v>
          </cell>
          <cell r="AN7">
            <v>20.634395597377967</v>
          </cell>
        </row>
        <row r="8">
          <cell r="AG8">
            <v>105.54392634207242</v>
          </cell>
          <cell r="AN8">
            <v>4.415665889521839</v>
          </cell>
        </row>
        <row r="9">
          <cell r="AG9">
            <v>138.70824225934592</v>
          </cell>
          <cell r="AN9">
            <v>45.210391530046842</v>
          </cell>
        </row>
        <row r="10">
          <cell r="AG10">
            <v>248.92847309514733</v>
          </cell>
          <cell r="AN10">
            <v>89.695028720497703</v>
          </cell>
          <cell r="AU10">
            <v>461</v>
          </cell>
          <cell r="AW10">
            <v>30</v>
          </cell>
          <cell r="AX10">
            <v>487</v>
          </cell>
        </row>
        <row r="11">
          <cell r="AG11">
            <v>274.24478717813975</v>
          </cell>
          <cell r="AN11">
            <v>93.436924415640021</v>
          </cell>
          <cell r="AU11">
            <v>491</v>
          </cell>
          <cell r="AW11">
            <v>7</v>
          </cell>
          <cell r="AX11">
            <v>500</v>
          </cell>
        </row>
        <row r="12">
          <cell r="AG12">
            <v>250.96893433948679</v>
          </cell>
          <cell r="AN12">
            <v>73.153648048517439</v>
          </cell>
          <cell r="AU12">
            <v>427</v>
          </cell>
          <cell r="AW12">
            <v>18</v>
          </cell>
          <cell r="AX12">
            <v>446</v>
          </cell>
        </row>
        <row r="13">
          <cell r="AG13">
            <v>264.66164385891096</v>
          </cell>
          <cell r="AN13">
            <v>126.0982579255666</v>
          </cell>
          <cell r="AU13">
            <v>509</v>
          </cell>
          <cell r="AW13">
            <v>29</v>
          </cell>
          <cell r="AX13">
            <v>536</v>
          </cell>
        </row>
        <row r="14">
          <cell r="AG14">
            <v>280.8975898777021</v>
          </cell>
          <cell r="AN14">
            <v>76.183937986218695</v>
          </cell>
          <cell r="AU14">
            <v>467</v>
          </cell>
          <cell r="AW14">
            <v>63</v>
          </cell>
          <cell r="AX14">
            <v>531</v>
          </cell>
        </row>
        <row r="15">
          <cell r="AG15">
            <v>164.97690534249284</v>
          </cell>
          <cell r="AN15">
            <v>55.345312466041264</v>
          </cell>
          <cell r="AU15">
            <v>292</v>
          </cell>
          <cell r="AW15">
            <v>-21</v>
          </cell>
          <cell r="AX15">
            <v>275</v>
          </cell>
        </row>
        <row r="16">
          <cell r="AG16">
            <v>197.59635452658966</v>
          </cell>
          <cell r="AN16">
            <v>188.84172708286309</v>
          </cell>
          <cell r="AU16">
            <v>542</v>
          </cell>
          <cell r="AW16">
            <v>35</v>
          </cell>
          <cell r="AX16">
            <v>564</v>
          </cell>
        </row>
        <row r="17">
          <cell r="AG17">
            <v>147.77293657510936</v>
          </cell>
          <cell r="AN17">
            <v>114.27447047922561</v>
          </cell>
          <cell r="AU17">
            <v>367</v>
          </cell>
          <cell r="AW17">
            <v>12</v>
          </cell>
          <cell r="AX17">
            <v>374</v>
          </cell>
        </row>
        <row r="18">
          <cell r="AG18">
            <v>141.31744795731009</v>
          </cell>
          <cell r="AN18">
            <v>53.913501081613447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178.27388853629515</v>
          </cell>
          <cell r="AN19">
            <v>44.414497272683626</v>
          </cell>
          <cell r="AU19">
            <v>341</v>
          </cell>
          <cell r="AW19">
            <v>46</v>
          </cell>
          <cell r="AX19">
            <v>384</v>
          </cell>
        </row>
        <row r="20">
          <cell r="AG20">
            <v>223.20673664900542</v>
          </cell>
          <cell r="AN20">
            <v>89.352670502635803</v>
          </cell>
          <cell r="AU20">
            <v>464</v>
          </cell>
          <cell r="AW20">
            <v>34</v>
          </cell>
          <cell r="AX20">
            <v>496</v>
          </cell>
        </row>
        <row r="21">
          <cell r="AG21">
            <v>250.18737365660422</v>
          </cell>
          <cell r="AN21">
            <v>77.471315375490803</v>
          </cell>
          <cell r="AU21">
            <v>475</v>
          </cell>
          <cell r="AW21">
            <v>31</v>
          </cell>
          <cell r="AX21">
            <v>506</v>
          </cell>
        </row>
        <row r="22">
          <cell r="AG22">
            <v>189.82881768324131</v>
          </cell>
          <cell r="AN22">
            <v>95.695806019527666</v>
          </cell>
          <cell r="AU22">
            <v>412</v>
          </cell>
          <cell r="AW22">
            <v>39</v>
          </cell>
          <cell r="AX22">
            <v>445</v>
          </cell>
        </row>
        <row r="23">
          <cell r="AG23">
            <v>180.40990846882016</v>
          </cell>
          <cell r="AN23">
            <v>76.660362497463623</v>
          </cell>
          <cell r="AU23">
            <v>389</v>
          </cell>
          <cell r="AW23">
            <v>53</v>
          </cell>
          <cell r="AX23">
            <v>440</v>
          </cell>
        </row>
        <row r="24">
          <cell r="AG24">
            <v>213.71313753546914</v>
          </cell>
          <cell r="AN24">
            <v>44.818472974815428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159.59097776421004</v>
          </cell>
          <cell r="AN25">
            <v>29.314517670085948</v>
          </cell>
          <cell r="AU25">
            <v>297</v>
          </cell>
          <cell r="AW25">
            <v>42</v>
          </cell>
          <cell r="AX25">
            <v>337</v>
          </cell>
        </row>
        <row r="26">
          <cell r="AG26">
            <v>183.01231058201998</v>
          </cell>
          <cell r="AN26">
            <v>353.09040730567574</v>
          </cell>
          <cell r="AU26">
            <v>812</v>
          </cell>
          <cell r="AW26">
            <v>37</v>
          </cell>
          <cell r="AX26">
            <v>839</v>
          </cell>
        </row>
      </sheetData>
      <sheetData sheetId="6">
        <row r="14">
          <cell r="V14">
            <v>-3.4204584093745161</v>
          </cell>
        </row>
      </sheetData>
      <sheetData sheetId="7">
        <row r="5">
          <cell r="J5">
            <v>0</v>
          </cell>
          <cell r="L5">
            <v>538.52499999999998</v>
          </cell>
          <cell r="P5">
            <v>108.21374966680047</v>
          </cell>
          <cell r="R5">
            <v>910.43474966680049</v>
          </cell>
        </row>
        <row r="6">
          <cell r="J6">
            <v>0</v>
          </cell>
          <cell r="L6">
            <v>536.61099999999999</v>
          </cell>
          <cell r="P6">
            <v>73.577210032863462</v>
          </cell>
          <cell r="R6">
            <v>910.27821003286351</v>
          </cell>
        </row>
        <row r="7">
          <cell r="J7">
            <v>0</v>
          </cell>
          <cell r="L7">
            <v>389.51400000000001</v>
          </cell>
          <cell r="P7">
            <v>64.6415770427312</v>
          </cell>
          <cell r="R7">
            <v>876.02957704273126</v>
          </cell>
          <cell r="BA7">
            <v>49.33827737984646</v>
          </cell>
          <cell r="BB7">
            <v>0.29777500000001567</v>
          </cell>
          <cell r="BD7">
            <v>40.625</v>
          </cell>
        </row>
        <row r="8">
          <cell r="J8">
            <v>0</v>
          </cell>
          <cell r="L8">
            <v>461.18800000000005</v>
          </cell>
          <cell r="P8">
            <v>137.03063454870204</v>
          </cell>
          <cell r="R8">
            <v>1253.0906345487019</v>
          </cell>
          <cell r="BA8">
            <v>21.268717593897613</v>
          </cell>
          <cell r="BB8">
            <v>4.8053951330798554</v>
          </cell>
          <cell r="BD8">
            <v>47.037037037037031</v>
          </cell>
        </row>
        <row r="9">
          <cell r="J9">
            <v>0</v>
          </cell>
          <cell r="L9">
            <v>651.61500000000001</v>
          </cell>
          <cell r="P9">
            <v>270.27149597314451</v>
          </cell>
          <cell r="R9">
            <v>1779.9514959731446</v>
          </cell>
          <cell r="BA9">
            <v>33.545498839095586</v>
          </cell>
          <cell r="BB9">
            <v>6.3546305822056866</v>
          </cell>
          <cell r="BD9">
            <v>24.685138539042818</v>
          </cell>
        </row>
        <row r="10">
          <cell r="J10">
            <v>361.24192641373804</v>
          </cell>
          <cell r="L10">
            <v>1109.7149264137379</v>
          </cell>
          <cell r="P10">
            <v>392.95008798905877</v>
          </cell>
          <cell r="R10">
            <v>2214.4960879890587</v>
          </cell>
          <cell r="BA10">
            <v>117.02869045273148</v>
          </cell>
          <cell r="BB10">
            <v>3.3698083346741754</v>
          </cell>
          <cell r="BD10">
            <v>28.080808080808083</v>
          </cell>
        </row>
        <row r="11">
          <cell r="J11">
            <v>298.44223030059038</v>
          </cell>
          <cell r="L11">
            <v>883.89623030059033</v>
          </cell>
          <cell r="P11">
            <v>432.0822366297628</v>
          </cell>
          <cell r="R11">
            <v>2518.6812366297627</v>
          </cell>
          <cell r="BA11">
            <v>-22.454015506619605</v>
          </cell>
          <cell r="BB11">
            <v>5.5317009052676553</v>
          </cell>
          <cell r="BD11">
            <v>-21.135646687697161</v>
          </cell>
        </row>
        <row r="12">
          <cell r="A12">
            <v>1988</v>
          </cell>
          <cell r="J12">
            <v>248.5608431342506</v>
          </cell>
          <cell r="L12">
            <v>759.75984313425056</v>
          </cell>
          <cell r="N12">
            <v>1452.5060000000001</v>
          </cell>
          <cell r="P12">
            <v>305.17321324805459</v>
          </cell>
          <cell r="R12">
            <v>2268.8782132480546</v>
          </cell>
          <cell r="BA12">
            <v>-34.490101239143037</v>
          </cell>
          <cell r="BB12">
            <v>10.768220275344177</v>
          </cell>
          <cell r="BD12">
            <v>-19.799999999999997</v>
          </cell>
        </row>
        <row r="13">
          <cell r="A13">
            <v>1989</v>
          </cell>
          <cell r="J13">
            <v>240.73110212810695</v>
          </cell>
          <cell r="L13">
            <v>866.29110212810701</v>
          </cell>
          <cell r="N13">
            <v>936.51499999999987</v>
          </cell>
          <cell r="P13">
            <v>268.08574491243655</v>
          </cell>
          <cell r="R13">
            <v>1830.1607449124365</v>
          </cell>
          <cell r="BA13">
            <v>-8.6348353305400352</v>
          </cell>
          <cell r="BB13">
            <v>12.788870288742515</v>
          </cell>
          <cell r="BD13">
            <v>-66.832917705735667</v>
          </cell>
        </row>
        <row r="14">
          <cell r="A14">
            <v>1990</v>
          </cell>
          <cell r="J14">
            <v>149.67398573529715</v>
          </cell>
          <cell r="L14">
            <v>796.33498573529721</v>
          </cell>
          <cell r="N14">
            <v>820.84900000000005</v>
          </cell>
          <cell r="P14">
            <v>303.56326346693442</v>
          </cell>
          <cell r="R14">
            <v>1771.0732634669343</v>
          </cell>
          <cell r="BA14">
            <v>-56.978615107446615</v>
          </cell>
          <cell r="BB14">
            <v>13.898867743131163</v>
          </cell>
          <cell r="BD14">
            <v>7.5187969924812137</v>
          </cell>
        </row>
        <row r="15">
          <cell r="A15">
            <v>1991</v>
          </cell>
          <cell r="J15">
            <v>120.6538494893847</v>
          </cell>
          <cell r="L15">
            <v>725.1868494893846</v>
          </cell>
          <cell r="N15">
            <v>807.06600000000003</v>
          </cell>
          <cell r="P15">
            <v>256.94562665665961</v>
          </cell>
          <cell r="R15">
            <v>1668.5446266566596</v>
          </cell>
          <cell r="BA15">
            <v>24.927672262395117</v>
          </cell>
          <cell r="BB15">
            <v>7.6564829809751132</v>
          </cell>
          <cell r="BD15">
            <v>10.489510489510479</v>
          </cell>
        </row>
        <row r="16">
          <cell r="A16">
            <v>1992</v>
          </cell>
          <cell r="J16">
            <v>153.34673028411885</v>
          </cell>
          <cell r="L16">
            <v>916.9547302841188</v>
          </cell>
          <cell r="N16">
            <v>628.05399999999997</v>
          </cell>
          <cell r="P16">
            <v>302.02213529367015</v>
          </cell>
          <cell r="R16">
            <v>1693.6841352936699</v>
          </cell>
          <cell r="BA16">
            <v>-50.226553849478293</v>
          </cell>
          <cell r="BB16">
            <v>7.2473870580247421</v>
          </cell>
          <cell r="BD16">
            <v>-20.253164556962023</v>
          </cell>
        </row>
        <row r="17">
          <cell r="A17">
            <v>1993</v>
          </cell>
          <cell r="J17">
            <v>181.17773923059804</v>
          </cell>
          <cell r="L17">
            <v>1007.737739230598</v>
          </cell>
          <cell r="N17">
            <v>486.16200000000003</v>
          </cell>
          <cell r="P17">
            <v>337.40741155875435</v>
          </cell>
          <cell r="R17">
            <v>1650.1294115587543</v>
          </cell>
          <cell r="BA17">
            <v>58.514763314368089</v>
          </cell>
          <cell r="BB17">
            <v>8.5947241922106912</v>
          </cell>
          <cell r="BD17">
            <v>21.42857142857142</v>
          </cell>
        </row>
        <row r="18">
          <cell r="A18">
            <v>1994</v>
          </cell>
          <cell r="J18">
            <v>220.29274890845522</v>
          </cell>
          <cell r="L18">
            <v>1021.9837489084551</v>
          </cell>
          <cell r="N18">
            <v>485.24800000000005</v>
          </cell>
          <cell r="P18">
            <v>299.79417935838251</v>
          </cell>
          <cell r="R18">
            <v>1586.7331793583826</v>
          </cell>
          <cell r="BA18">
            <v>-23.602302721374812</v>
          </cell>
          <cell r="BB18">
            <v>0.59494925664003517</v>
          </cell>
          <cell r="BD18">
            <v>-22.875816993464049</v>
          </cell>
        </row>
        <row r="19">
          <cell r="A19">
            <v>1995</v>
          </cell>
          <cell r="J19">
            <v>198.1412175278017</v>
          </cell>
          <cell r="L19">
            <v>933.36321752780168</v>
          </cell>
          <cell r="N19">
            <v>543.48300000000006</v>
          </cell>
          <cell r="P19">
            <v>314.47336935393673</v>
          </cell>
          <cell r="R19">
            <v>1593.1783693539369</v>
          </cell>
          <cell r="BA19">
            <v>-1.4499157821560305</v>
          </cell>
          <cell r="BB19">
            <v>2.1975425108225011</v>
          </cell>
          <cell r="BD19">
            <v>12.711864406779672</v>
          </cell>
        </row>
        <row r="20">
          <cell r="A20">
            <v>1996</v>
          </cell>
          <cell r="J20">
            <v>198.88350318544246</v>
          </cell>
          <cell r="L20">
            <v>747.49650318544252</v>
          </cell>
          <cell r="N20">
            <v>556.64800000000002</v>
          </cell>
          <cell r="P20">
            <v>242.67273664338521</v>
          </cell>
          <cell r="R20">
            <v>1347.9337366433851</v>
          </cell>
          <cell r="BA20">
            <v>-12.484422068332268</v>
          </cell>
          <cell r="BB20">
            <v>5.2241750470946329</v>
          </cell>
          <cell r="BD20">
            <v>-4.5112781954887211</v>
          </cell>
        </row>
        <row r="21">
          <cell r="A21">
            <v>1997</v>
          </cell>
          <cell r="J21">
            <v>357.32755347036539</v>
          </cell>
          <cell r="L21">
            <v>846.39455347036539</v>
          </cell>
          <cell r="N21">
            <v>686.98699999999997</v>
          </cell>
          <cell r="P21">
            <v>232.40602491110289</v>
          </cell>
          <cell r="R21">
            <v>1408.4600249111029</v>
          </cell>
          <cell r="BA21">
            <v>-14.618690740894358</v>
          </cell>
          <cell r="BB21">
            <v>11.062465936679388</v>
          </cell>
          <cell r="BD21">
            <v>-53.543307086614163</v>
          </cell>
        </row>
        <row r="22">
          <cell r="A22">
            <v>1998</v>
          </cell>
          <cell r="J22">
            <v>328.94913670142353</v>
          </cell>
          <cell r="L22">
            <v>738.10313670142352</v>
          </cell>
          <cell r="N22">
            <v>646.77499999999998</v>
          </cell>
          <cell r="P22">
            <v>255.47714028749425</v>
          </cell>
          <cell r="R22">
            <v>1311.4061402874941</v>
          </cell>
          <cell r="BA22">
            <v>-123.92099685381675</v>
          </cell>
          <cell r="BB22">
            <v>2.8138850038283607</v>
          </cell>
          <cell r="BD22">
            <v>-83.050847457627114</v>
          </cell>
        </row>
        <row r="23">
          <cell r="A23">
            <v>1999</v>
          </cell>
          <cell r="J23">
            <v>364.42234345051094</v>
          </cell>
          <cell r="L23">
            <v>873.78834345051087</v>
          </cell>
          <cell r="N23">
            <v>627.66300000000001</v>
          </cell>
          <cell r="P23">
            <v>287.49604216035868</v>
          </cell>
          <cell r="R23">
            <v>1424.5250421603587</v>
          </cell>
          <cell r="BA23">
            <v>-88.972584649580469</v>
          </cell>
          <cell r="BB23">
            <v>8.7268924921573898E-2</v>
          </cell>
          <cell r="BD23">
            <v>580</v>
          </cell>
        </row>
        <row r="24">
          <cell r="A24">
            <v>2000</v>
          </cell>
          <cell r="J24">
            <v>377.76698894748779</v>
          </cell>
          <cell r="L24">
            <v>1091.8689889474879</v>
          </cell>
          <cell r="N24">
            <v>436.32799999999997</v>
          </cell>
          <cell r="P24">
            <v>443.03388087537388</v>
          </cell>
          <cell r="R24">
            <v>1593.4638808753739</v>
          </cell>
          <cell r="BA24">
            <v>-4030.0009665590524</v>
          </cell>
          <cell r="BB24">
            <v>7.1212149138590348</v>
          </cell>
          <cell r="BD24">
            <v>17.647058823529417</v>
          </cell>
        </row>
        <row r="25">
          <cell r="A25">
            <v>2001</v>
          </cell>
          <cell r="J25">
            <v>250.69787964681399</v>
          </cell>
          <cell r="L25">
            <v>714.247879646814</v>
          </cell>
          <cell r="N25">
            <v>460.399</v>
          </cell>
          <cell r="P25">
            <v>328.76806753637618</v>
          </cell>
          <cell r="R25">
            <v>1252.7170675363761</v>
          </cell>
          <cell r="BA25">
            <v>-68.61645364413377</v>
          </cell>
          <cell r="BB25">
            <v>0.56101153718765318</v>
          </cell>
          <cell r="BD25">
            <v>37.5</v>
          </cell>
        </row>
        <row r="26">
          <cell r="A26">
            <v>2002</v>
          </cell>
          <cell r="J26">
            <v>377.46712230175967</v>
          </cell>
          <cell r="L26">
            <v>975.10612230175957</v>
          </cell>
          <cell r="N26">
            <v>464.65200000000004</v>
          </cell>
          <cell r="P26">
            <v>307.63802674244573</v>
          </cell>
          <cell r="R26">
            <v>1369.9290267424458</v>
          </cell>
          <cell r="BA26">
            <v>611.25488565899673</v>
          </cell>
          <cell r="BB26">
            <v>0.88309274423917827</v>
          </cell>
          <cell r="BD26">
            <v>-27.27272727272727</v>
          </cell>
        </row>
        <row r="27">
          <cell r="A27">
            <v>2003</v>
          </cell>
          <cell r="L27">
            <v>1134.101246939967</v>
          </cell>
          <cell r="N27">
            <v>519.29200000000003</v>
          </cell>
        </row>
      </sheetData>
      <sheetData sheetId="8">
        <row r="7">
          <cell r="B7">
            <v>19608.507000000001</v>
          </cell>
        </row>
      </sheetData>
      <sheetData sheetId="9"/>
      <sheetData sheetId="10"/>
      <sheetData sheetId="11">
        <row r="20">
          <cell r="C20">
            <v>5.1967035225194191</v>
          </cell>
        </row>
      </sheetData>
      <sheetData sheetId="12"/>
      <sheetData sheetId="13"/>
      <sheetData sheetId="14"/>
      <sheetData sheetId="15"/>
      <sheetData sheetId="16"/>
      <sheetData sheetId="17">
        <row r="27">
          <cell r="B27">
            <v>-363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D33">
            <v>1.1459829253990916</v>
          </cell>
          <cell r="CH33">
            <v>4.8236270576843321</v>
          </cell>
        </row>
        <row r="34">
          <cell r="A34" t="str">
            <v>1994</v>
          </cell>
          <cell r="CD34">
            <v>2.9437155749031829</v>
          </cell>
          <cell r="CH34">
            <v>2.2922522665188572</v>
          </cell>
        </row>
        <row r="35">
          <cell r="A35" t="str">
            <v>1995</v>
          </cell>
          <cell r="CD35">
            <v>3.2414657630329025</v>
          </cell>
          <cell r="CH35">
            <v>2.3931160822561193</v>
          </cell>
        </row>
        <row r="36">
          <cell r="A36" t="str">
            <v>1996</v>
          </cell>
          <cell r="CD36">
            <v>4.172359447628371</v>
          </cell>
          <cell r="CH36">
            <v>3.8327306631052327</v>
          </cell>
        </row>
        <row r="37">
          <cell r="A37" t="str">
            <v>1997</v>
          </cell>
          <cell r="CD37">
            <v>1.7963825837481906</v>
          </cell>
          <cell r="CH37">
            <v>3.0893934062200534</v>
          </cell>
        </row>
        <row r="38">
          <cell r="CD38">
            <v>2.4382579095687751</v>
          </cell>
          <cell r="CH38">
            <v>2.8626246218675266</v>
          </cell>
        </row>
        <row r="39">
          <cell r="CD39">
            <v>1.4124279613440871</v>
          </cell>
          <cell r="CH39">
            <v>3.1319731316298283</v>
          </cell>
        </row>
        <row r="40">
          <cell r="CD40">
            <v>4.042492806518716</v>
          </cell>
          <cell r="CH40">
            <v>2.9525331202982397</v>
          </cell>
        </row>
        <row r="41">
          <cell r="CD41">
            <v>3.625600560016573</v>
          </cell>
          <cell r="CH41">
            <v>3.155614471854884</v>
          </cell>
        </row>
        <row r="42">
          <cell r="CD42">
            <v>4.807451358641579</v>
          </cell>
          <cell r="CH42">
            <v>3.6441519093141084</v>
          </cell>
        </row>
        <row r="43">
          <cell r="CD43">
            <v>3.0003404296249148</v>
          </cell>
          <cell r="CH43">
            <v>3.0855921695916555</v>
          </cell>
        </row>
        <row r="44">
          <cell r="CD44">
            <v>3.3784671045411274</v>
          </cell>
          <cell r="CH44">
            <v>2.8269967926151995</v>
          </cell>
        </row>
        <row r="45">
          <cell r="CD45">
            <v>3.2871362745239718</v>
          </cell>
          <cell r="CH45">
            <v>2.6969711378441286</v>
          </cell>
        </row>
        <row r="46">
          <cell r="CD46">
            <v>3.2228811954506886</v>
          </cell>
          <cell r="CH46">
            <v>3.3512051930253417</v>
          </cell>
        </row>
        <row r="47">
          <cell r="CD47">
            <v>2.2377620962973799</v>
          </cell>
          <cell r="CH47">
            <v>3.0257145417077247</v>
          </cell>
        </row>
        <row r="48">
          <cell r="CD48">
            <v>2.8827687716847405</v>
          </cell>
          <cell r="CH48">
            <v>3.6551958047431388</v>
          </cell>
        </row>
        <row r="49">
          <cell r="CD49">
            <v>4.439011621558353</v>
          </cell>
          <cell r="CH49">
            <v>4.3736890678748308</v>
          </cell>
        </row>
        <row r="50">
          <cell r="CD50">
            <v>3.9340435489665815</v>
          </cell>
          <cell r="CH50">
            <v>4.638151813059177</v>
          </cell>
        </row>
        <row r="51">
          <cell r="CD51">
            <v>0.93414012935555402</v>
          </cell>
          <cell r="CH51">
            <v>3.8364330544736536</v>
          </cell>
        </row>
        <row r="52">
          <cell r="CD52">
            <v>0.88492876191306191</v>
          </cell>
          <cell r="CH52">
            <v>3.0083444923686864</v>
          </cell>
        </row>
        <row r="53">
          <cell r="CD53">
            <v>2.5336994516048206</v>
          </cell>
          <cell r="CH53">
            <v>2.8968823490192808</v>
          </cell>
        </row>
        <row r="54">
          <cell r="CD54">
            <v>3.7003431875852311</v>
          </cell>
          <cell r="CH54">
            <v>3.9618669588211253</v>
          </cell>
        </row>
        <row r="55">
          <cell r="CD55">
            <v>4.0384047058628969</v>
          </cell>
          <cell r="CH55">
            <v>4.1474476396460069</v>
          </cell>
        </row>
        <row r="56">
          <cell r="CD56">
            <v>2.2154083114299672</v>
          </cell>
          <cell r="CH56">
            <v>3.4599308119791727</v>
          </cell>
        </row>
        <row r="57">
          <cell r="CD57">
            <v>3.550934725756183</v>
          </cell>
          <cell r="CH57">
            <v>3.7477213608340332</v>
          </cell>
        </row>
        <row r="58">
          <cell r="CD58">
            <v>4.4583715593796924</v>
          </cell>
          <cell r="CH58">
            <v>4.3166461840669967</v>
          </cell>
        </row>
        <row r="59">
          <cell r="CD59">
            <v>5.9395993062171915</v>
          </cell>
          <cell r="CH59">
            <v>5.4934371702853646</v>
          </cell>
        </row>
        <row r="60">
          <cell r="CD60">
            <v>3.348516568344162</v>
          </cell>
          <cell r="CH60">
            <v>4.0283293821792077</v>
          </cell>
        </row>
        <row r="61">
          <cell r="CD61">
            <v>2.4480531542958595</v>
          </cell>
          <cell r="CH61">
            <v>3.4255627928384547</v>
          </cell>
        </row>
        <row r="62">
          <cell r="CD62">
            <v>2.2393047677117472</v>
          </cell>
          <cell r="CH62">
            <v>3.19275037085891</v>
          </cell>
        </row>
        <row r="63">
          <cell r="CD63">
            <v>2.8206368207804644</v>
          </cell>
          <cell r="CH63">
            <v>3.648240405997738</v>
          </cell>
        </row>
        <row r="64">
          <cell r="CD64">
            <v>3.8373983225020725</v>
          </cell>
          <cell r="CH64">
            <v>4.360211432687966</v>
          </cell>
        </row>
        <row r="65">
          <cell r="CD65">
            <v>3.5946986108988277</v>
          </cell>
          <cell r="CH65">
            <v>4.1507671375890842</v>
          </cell>
        </row>
        <row r="66">
          <cell r="CD66">
            <v>2.8402638342799325</v>
          </cell>
          <cell r="CH66">
            <v>3.5813940563049096</v>
          </cell>
        </row>
        <row r="67">
          <cell r="CD67">
            <v>2.7760711616934053</v>
          </cell>
          <cell r="CH67">
            <v>3.3483406218682843</v>
          </cell>
        </row>
        <row r="68">
          <cell r="CD68">
            <v>2.8576109998096788</v>
          </cell>
          <cell r="CH68">
            <v>3.3586687320485087</v>
          </cell>
        </row>
        <row r="69">
          <cell r="CD69">
            <v>3.0870491813046907</v>
          </cell>
          <cell r="CH69">
            <v>3.5041860804410296</v>
          </cell>
        </row>
        <row r="70">
          <cell r="CD70">
            <v>2.8222754928352245</v>
          </cell>
          <cell r="CH70">
            <v>3.3051569136590686</v>
          </cell>
        </row>
        <row r="71">
          <cell r="CD71">
            <v>2.8034441970929969</v>
          </cell>
          <cell r="CH71">
            <v>3.2520668634742123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>
        <row r="2">
          <cell r="B2" t="str">
            <v>SOUTH AUSTRALIA - VALUE OF WORK DONE</v>
          </cell>
        </row>
      </sheetData>
      <sheetData sheetId="1">
        <row r="2">
          <cell r="B2" t="str">
            <v>SOUTH AUSTRALIA - VALUE OF WORK DONE</v>
          </cell>
        </row>
      </sheetData>
      <sheetData sheetId="2">
        <row r="2">
          <cell r="B2" t="str">
            <v>SOUTH AUSTRALIA - VALUE OF WORK DONE</v>
          </cell>
        </row>
      </sheetData>
      <sheetData sheetId="3">
        <row r="2">
          <cell r="B2" t="str">
            <v>SOUTH AUSTRALIA - VALUE OF WORK DONE</v>
          </cell>
        </row>
      </sheetData>
      <sheetData sheetId="4">
        <row r="2">
          <cell r="B2" t="str">
            <v>SOUTH AUSTRALIA - VALUE OF WORK DONE</v>
          </cell>
        </row>
      </sheetData>
      <sheetData sheetId="5">
        <row r="2">
          <cell r="B2" t="str">
            <v>SOUTH AUSTRALIA - VALUE OF WORK DONE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F2. Capex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C42">
            <v>74693567.799999997</v>
          </cell>
        </row>
        <row r="79">
          <cell r="C79">
            <v>0</v>
          </cell>
        </row>
        <row r="118">
          <cell r="C118">
            <v>5245384.01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F360-8148-491A-8BBA-ED95064CA5BE}">
  <dimension ref="A1:O38"/>
  <sheetViews>
    <sheetView topLeftCell="A4" workbookViewId="0">
      <selection activeCell="A39" sqref="A39:XFD1048576"/>
    </sheetView>
  </sheetViews>
  <sheetFormatPr defaultColWidth="0" defaultRowHeight="12.75" customHeight="1" zeroHeight="1"/>
  <cols>
    <col min="1" max="14" width="9.140625" style="249" customWidth="1"/>
    <col min="15" max="15" width="6.7109375" style="249" customWidth="1"/>
    <col min="16" max="16384" width="9.140625" style="249" hidden="1"/>
  </cols>
  <sheetData>
    <row r="1" s="249" customFormat="1"/>
    <row r="2" s="249" customFormat="1"/>
    <row r="3" s="249" customFormat="1"/>
    <row r="4" s="249" customFormat="1"/>
    <row r="5" s="249" customFormat="1"/>
    <row r="6" s="249" customFormat="1"/>
    <row r="7" s="249" customFormat="1"/>
    <row r="8" s="249" customFormat="1"/>
    <row r="9" s="249" customFormat="1"/>
    <row r="10" s="249" customFormat="1"/>
    <row r="11" s="249" customFormat="1"/>
    <row r="12" s="249" customFormat="1"/>
    <row r="13" s="249" customFormat="1"/>
    <row r="14" s="249" customFormat="1"/>
    <row r="15" s="249" customFormat="1"/>
    <row r="16" s="249" customFormat="1"/>
    <row r="17" s="249" customFormat="1"/>
    <row r="18" s="249" customFormat="1"/>
    <row r="19" s="249" customFormat="1"/>
    <row r="20" s="249" customFormat="1"/>
    <row r="21" s="249" customFormat="1"/>
    <row r="22" s="249" customFormat="1"/>
    <row r="23" s="249" customFormat="1"/>
    <row r="24" s="249" customFormat="1"/>
    <row r="25" s="249" customFormat="1"/>
    <row r="26" s="249" customFormat="1"/>
    <row r="27" s="249" customFormat="1"/>
    <row r="28" s="249" customFormat="1"/>
    <row r="29" s="249" customFormat="1"/>
    <row r="30" s="249" customFormat="1"/>
    <row r="31" s="249" customFormat="1"/>
    <row r="32" s="249" customFormat="1"/>
    <row r="33" s="249" customFormat="1"/>
    <row r="34" s="249" customFormat="1"/>
    <row r="35" s="249" customFormat="1"/>
    <row r="36" s="249" customFormat="1"/>
    <row r="37" s="249" customFormat="1"/>
    <row r="38" s="249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Multinet Gas 2023-28 Gas AA Proposal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7" t="s">
        <v>157</v>
      </c>
      <c r="D10" s="26" t="s">
        <v>191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149</v>
      </c>
      <c r="D11" s="26" t="s">
        <v>151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zoomScale="90" zoomScaleNormal="90" workbookViewId="0">
      <selection activeCell="C19" sqref="C19"/>
    </sheetView>
  </sheetViews>
  <sheetFormatPr defaultRowHeight="15"/>
  <cols>
    <col min="2" max="2" width="37.85546875" customWidth="1"/>
    <col min="3" max="3" width="23.5703125" customWidth="1"/>
    <col min="4" max="4" width="81.140625" customWidth="1"/>
    <col min="5" max="5" width="75.42578125" customWidth="1"/>
  </cols>
  <sheetData>
    <row r="1" spans="1:5" ht="21">
      <c r="A1" s="209" t="str">
        <f>'Input | General'!B1</f>
        <v>Multinet Gas 2023-28 Gas AA Proposal - Capital expenditure sharing scheme model</v>
      </c>
    </row>
    <row r="2" spans="1:5" ht="15.75">
      <c r="A2" s="210" t="s">
        <v>150</v>
      </c>
      <c r="B2" s="211"/>
      <c r="C2" s="211"/>
      <c r="D2" s="211"/>
      <c r="E2" s="190"/>
    </row>
    <row r="3" spans="1:5" ht="15.75" thickBot="1">
      <c r="A3" s="190"/>
      <c r="B3" s="190"/>
      <c r="C3" s="190"/>
      <c r="D3" s="190"/>
      <c r="E3" s="190"/>
    </row>
    <row r="4" spans="1:5">
      <c r="A4" s="191" t="s">
        <v>98</v>
      </c>
      <c r="B4" s="192" t="s">
        <v>99</v>
      </c>
      <c r="C4" s="192" t="s">
        <v>100</v>
      </c>
      <c r="D4" s="193" t="s">
        <v>101</v>
      </c>
    </row>
    <row r="5" spans="1:5" ht="30.75" customHeight="1">
      <c r="A5" s="189">
        <v>1</v>
      </c>
      <c r="B5" s="190" t="s">
        <v>31</v>
      </c>
      <c r="C5" s="190" t="s">
        <v>102</v>
      </c>
      <c r="D5" s="195" t="s">
        <v>103</v>
      </c>
    </row>
    <row r="6" spans="1:5" ht="30.75" customHeight="1">
      <c r="A6" s="189">
        <f>A5+1</f>
        <v>2</v>
      </c>
      <c r="B6" s="190" t="s">
        <v>75</v>
      </c>
      <c r="C6" s="190" t="s">
        <v>104</v>
      </c>
      <c r="D6" s="195" t="s">
        <v>115</v>
      </c>
    </row>
    <row r="7" spans="1:5" ht="30.75" customHeight="1">
      <c r="A7" s="189">
        <f>A6+1</f>
        <v>3</v>
      </c>
      <c r="B7" s="190" t="s">
        <v>51</v>
      </c>
      <c r="C7" s="194" t="s">
        <v>116</v>
      </c>
      <c r="D7" s="195" t="s">
        <v>117</v>
      </c>
    </row>
    <row r="8" spans="1:5" ht="30.75" customHeight="1">
      <c r="A8" s="189">
        <f>A7+1</f>
        <v>4</v>
      </c>
      <c r="B8" s="190" t="s">
        <v>51</v>
      </c>
      <c r="C8" s="194" t="s">
        <v>118</v>
      </c>
      <c r="D8" s="195" t="s">
        <v>119</v>
      </c>
    </row>
    <row r="9" spans="1:5" ht="30.75" customHeight="1">
      <c r="A9" s="189">
        <f>A8+1</f>
        <v>5</v>
      </c>
      <c r="B9" s="190" t="s">
        <v>54</v>
      </c>
      <c r="C9" s="190" t="s">
        <v>105</v>
      </c>
      <c r="D9" s="195" t="s">
        <v>124</v>
      </c>
    </row>
    <row r="10" spans="1:5" ht="30.75" customHeight="1">
      <c r="A10" s="189">
        <f t="shared" ref="A10:A12" si="0">A9+1</f>
        <v>6</v>
      </c>
      <c r="B10" s="190" t="s">
        <v>54</v>
      </c>
      <c r="C10" s="190" t="s">
        <v>106</v>
      </c>
      <c r="D10" s="195" t="s">
        <v>107</v>
      </c>
    </row>
    <row r="11" spans="1:5" ht="30.75" customHeight="1">
      <c r="A11" s="189">
        <f t="shared" si="0"/>
        <v>7</v>
      </c>
      <c r="B11" s="190" t="s">
        <v>54</v>
      </c>
      <c r="C11" s="190" t="s">
        <v>108</v>
      </c>
      <c r="D11" s="195" t="s">
        <v>125</v>
      </c>
    </row>
    <row r="12" spans="1:5" ht="30.75" customHeight="1">
      <c r="A12" s="189">
        <f t="shared" si="0"/>
        <v>8</v>
      </c>
      <c r="B12" s="190" t="s">
        <v>54</v>
      </c>
      <c r="C12" s="190" t="s">
        <v>109</v>
      </c>
      <c r="D12" s="195" t="s">
        <v>110</v>
      </c>
      <c r="E12" s="190"/>
    </row>
    <row r="13" spans="1:5" ht="30.75" customHeight="1">
      <c r="A13" s="189">
        <v>9</v>
      </c>
      <c r="B13" s="190" t="s">
        <v>76</v>
      </c>
      <c r="C13" s="190" t="s">
        <v>127</v>
      </c>
      <c r="D13" s="207" t="s">
        <v>128</v>
      </c>
      <c r="E13" s="190"/>
    </row>
    <row r="14" spans="1:5" ht="30.75" customHeight="1">
      <c r="A14" s="189">
        <v>10</v>
      </c>
      <c r="B14" s="190" t="s">
        <v>152</v>
      </c>
      <c r="C14" s="190" t="s">
        <v>146</v>
      </c>
      <c r="D14" s="207" t="s">
        <v>153</v>
      </c>
      <c r="E14" s="190"/>
    </row>
    <row r="15" spans="1:5" ht="30.75" customHeight="1" thickBot="1">
      <c r="A15" s="189">
        <v>11</v>
      </c>
      <c r="B15" s="196" t="s">
        <v>54</v>
      </c>
      <c r="C15" s="196" t="s">
        <v>147</v>
      </c>
      <c r="D15" s="208" t="s">
        <v>148</v>
      </c>
    </row>
    <row r="16" spans="1:5" ht="30.75" customHeight="1">
      <c r="A16" s="233">
        <v>12</v>
      </c>
      <c r="B16" s="234" t="s">
        <v>152</v>
      </c>
      <c r="C16" s="234" t="s">
        <v>184</v>
      </c>
      <c r="D16" s="235" t="s">
        <v>183</v>
      </c>
      <c r="E16" s="230"/>
    </row>
    <row r="17" spans="1:5" ht="30.75" customHeight="1">
      <c r="A17" s="189">
        <v>13</v>
      </c>
      <c r="B17" s="190" t="s">
        <v>152</v>
      </c>
      <c r="C17" s="190" t="s">
        <v>185</v>
      </c>
      <c r="D17" s="195" t="s">
        <v>186</v>
      </c>
      <c r="E17" s="230"/>
    </row>
    <row r="18" spans="1:5" ht="30.75" customHeight="1">
      <c r="A18" s="189">
        <v>14</v>
      </c>
      <c r="B18" s="190" t="s">
        <v>54</v>
      </c>
      <c r="C18" s="190" t="s">
        <v>155</v>
      </c>
      <c r="D18" s="195" t="s">
        <v>188</v>
      </c>
    </row>
    <row r="19" spans="1:5" ht="30.75" customHeight="1">
      <c r="A19" s="189">
        <v>15</v>
      </c>
      <c r="B19" s="190" t="s">
        <v>51</v>
      </c>
      <c r="C19" s="190" t="s">
        <v>116</v>
      </c>
      <c r="D19" s="195" t="s">
        <v>156</v>
      </c>
    </row>
    <row r="20" spans="1:5" ht="30.75" customHeight="1">
      <c r="A20" s="189">
        <v>16</v>
      </c>
      <c r="B20" s="190" t="s">
        <v>54</v>
      </c>
      <c r="C20" s="190" t="s">
        <v>147</v>
      </c>
      <c r="D20" s="195" t="s">
        <v>187</v>
      </c>
    </row>
    <row r="21" spans="1:5" ht="30.75" customHeight="1" thickBot="1">
      <c r="A21" s="236">
        <v>17</v>
      </c>
      <c r="B21" s="196" t="s">
        <v>189</v>
      </c>
      <c r="C21" s="196" t="s">
        <v>146</v>
      </c>
      <c r="D21" s="208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Multinet Gas 2023-28 Gas AA Proposal - Capital expenditure sharing scheme model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192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113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6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4">
        <v>2018</v>
      </c>
      <c r="E13" s="174">
        <v>2019</v>
      </c>
      <c r="F13" s="174">
        <v>2020</v>
      </c>
      <c r="G13" s="174">
        <v>2021</v>
      </c>
      <c r="H13" s="174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5" t="str">
        <f>D9</f>
        <v>2023-24</v>
      </c>
      <c r="E18" s="165" t="str">
        <f>IF(LEN(D18)&gt;4,CONCATENATE(LEFT(D18,4)+1&amp;"–"&amp;IF(RIGHT(D18,2)+1&gt;9,"","0")&amp;RIGHT(D18,2)+1),D18+1)</f>
        <v>2024–25</v>
      </c>
      <c r="F18" s="165" t="str">
        <f t="shared" ref="F18:H18" si="0">IF(LEN(E18)&gt;4,CONCATENATE(LEFT(E18,4)+1&amp;"–"&amp;IF(RIGHT(E18,2)+1&gt;9,"","0")&amp;RIGHT(E18,2)+1),E18+1)</f>
        <v>2025–26</v>
      </c>
      <c r="G18" s="165" t="str">
        <f t="shared" si="0"/>
        <v>2026–27</v>
      </c>
      <c r="H18" s="165" t="str">
        <f t="shared" si="0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5" zoomScaleNormal="85" workbookViewId="0">
      <selection activeCell="J108" sqref="J108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3" width="12.7109375" style="2" customWidth="1"/>
    <col min="14" max="14" width="12.5703125" style="17" customWidth="1"/>
    <col min="15" max="17" width="12.7109375" style="19" customWidth="1"/>
    <col min="18" max="19" width="2.85546875" style="19" customWidth="1"/>
    <col min="20" max="33" width="12.7109375" style="19" hidden="1" customWidth="1"/>
    <col min="34" max="16384" width="9.140625" style="19" hidden="1"/>
  </cols>
  <sheetData>
    <row r="1" spans="1:21" s="2" customFormat="1" ht="18" customHeight="1">
      <c r="B1" s="3" t="str">
        <f>'Input | General'!$B$1</f>
        <v>Multinet Gas 2023-28 Gas AA Proposal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0" t="s">
        <v>32</v>
      </c>
      <c r="K1" s="188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3">
        <f>IF(LEN(G7)&gt;4,CONCATENATE(LEFT(G7,4)-1&amp;"–"&amp;IF(RIGHT(G7,2)="00","99",IF(RIGHT(G7,2)-1&lt;10,"0","")&amp;RIGHT(G7,2)-1)),G7-1)</f>
        <v>2017</v>
      </c>
      <c r="G7" s="152">
        <f>'Input | General'!D13</f>
        <v>2018</v>
      </c>
      <c r="H7" s="152">
        <f>'Input | General'!E13</f>
        <v>2019</v>
      </c>
      <c r="I7" s="152">
        <f>'Input | General'!F13</f>
        <v>2020</v>
      </c>
      <c r="J7" s="152">
        <f>'Input | General'!G13</f>
        <v>2021</v>
      </c>
      <c r="K7" s="152">
        <f>'Input | General'!H13</f>
        <v>2022</v>
      </c>
      <c r="L7" s="173" t="s">
        <v>114</v>
      </c>
      <c r="M7" s="152" t="str">
        <f>'Input | General'!D18</f>
        <v>2023-24</v>
      </c>
      <c r="N7" s="152" t="str">
        <f>'Input | General'!E18</f>
        <v>2024–25</v>
      </c>
      <c r="O7" s="152" t="str">
        <f>'Input | General'!F18</f>
        <v>2025–26</v>
      </c>
      <c r="P7" s="152" t="str">
        <f>'Input | General'!G18</f>
        <v>2026–27</v>
      </c>
      <c r="Q7" s="152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241">
        <v>1.9337016574585641E-2</v>
      </c>
      <c r="H8" s="241">
        <v>2.0776874435411097E-2</v>
      </c>
      <c r="I8" s="241">
        <v>1.5929203539823078E-2</v>
      </c>
      <c r="J8" s="241">
        <v>-3.4843205574912606E-3</v>
      </c>
      <c r="K8" s="241">
        <v>3.8461538461538325E-2</v>
      </c>
      <c r="L8" s="241">
        <v>2.1000000000000001E-2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241">
        <v>3.373148388254843E-2</v>
      </c>
      <c r="N9" s="124">
        <f t="shared" ref="N9:Q9" si="0">M9</f>
        <v>3.373148388254843E-2</v>
      </c>
      <c r="O9" s="124">
        <f t="shared" si="0"/>
        <v>3.373148388254843E-2</v>
      </c>
      <c r="P9" s="124">
        <f t="shared" si="0"/>
        <v>3.373148388254843E-2</v>
      </c>
      <c r="Q9" s="124">
        <f t="shared" si="0"/>
        <v>3.373148388254843E-2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1">IF(G7&lt;&gt;"",(F10*(1+G8)),"")</f>
        <v>1.0193370165745856</v>
      </c>
      <c r="H10" s="110">
        <f t="shared" si="1"/>
        <v>1.0405156537753224</v>
      </c>
      <c r="I10" s="110">
        <f t="shared" si="1"/>
        <v>1.0570902394106816</v>
      </c>
      <c r="J10" s="110">
        <f t="shared" si="1"/>
        <v>1.0534069981583796</v>
      </c>
      <c r="K10" s="110">
        <f t="shared" si="1"/>
        <v>1.0939226519337018</v>
      </c>
      <c r="L10" s="110">
        <f t="shared" si="1"/>
        <v>1.1168950276243095</v>
      </c>
      <c r="M10" s="79">
        <f>IF(M7&lt;&gt;"",(L10*(1+M9)),"")</f>
        <v>1.1545695542471173</v>
      </c>
      <c r="N10" s="79">
        <f t="shared" ref="N10:Q10" si="2">IF(N7&lt;&gt;"",(M10*(1+N9)),"")</f>
        <v>1.193514898557485</v>
      </c>
      <c r="O10" s="79">
        <f t="shared" si="2"/>
        <v>1.2337739271217583</v>
      </c>
      <c r="P10" s="79">
        <f t="shared" si="2"/>
        <v>1.2753909524591744</v>
      </c>
      <c r="Q10" s="79">
        <f t="shared" si="2"/>
        <v>1.3184117818159993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241">
        <v>1.9337016574585641E-2</v>
      </c>
      <c r="H13" s="241">
        <v>2.0776874435411097E-2</v>
      </c>
      <c r="I13" s="241">
        <v>1.5929203539823078E-2</v>
      </c>
      <c r="J13" s="241">
        <v>-3.4843205574912606E-3</v>
      </c>
      <c r="K13" s="241">
        <v>3.8461538461538325E-2</v>
      </c>
      <c r="L13" s="241">
        <v>2.1043771043770976E-2</v>
      </c>
      <c r="M13" s="169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241">
        <v>3.373148388254843E-2</v>
      </c>
      <c r="N14" s="124">
        <f t="shared" ref="N14:Q14" si="3">M14</f>
        <v>3.373148388254843E-2</v>
      </c>
      <c r="O14" s="124">
        <f t="shared" si="3"/>
        <v>3.373148388254843E-2</v>
      </c>
      <c r="P14" s="124">
        <f t="shared" si="3"/>
        <v>3.373148388254843E-2</v>
      </c>
      <c r="Q14" s="124">
        <f t="shared" si="3"/>
        <v>3.373148388254843E-2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4">IF(G7&lt;&gt;"",(F15*(1+G13)),"")</f>
        <v>1.0193370165745856</v>
      </c>
      <c r="H15" s="110">
        <f t="shared" si="4"/>
        <v>1.0405156537753224</v>
      </c>
      <c r="I15" s="110">
        <f t="shared" si="4"/>
        <v>1.0570902394106816</v>
      </c>
      <c r="J15" s="170">
        <f t="shared" si="4"/>
        <v>1.0534069981583796</v>
      </c>
      <c r="K15" s="171">
        <f t="shared" si="4"/>
        <v>1.0939226519337018</v>
      </c>
      <c r="L15" s="170">
        <f t="shared" si="4"/>
        <v>1.1169429097605894</v>
      </c>
      <c r="M15" s="171">
        <f>IF(M7&lt;&gt;"",(L15*(1+M14)),"")</f>
        <v>1.1546190515189054</v>
      </c>
      <c r="N15" s="79">
        <f t="shared" ref="N15:Q15" si="5">IF(N7&lt;&gt;"",(M15*(1+N14)),"")</f>
        <v>1.1935660654456988</v>
      </c>
      <c r="O15" s="79">
        <f t="shared" si="5"/>
        <v>1.2338268199450371</v>
      </c>
      <c r="P15" s="79">
        <f t="shared" si="5"/>
        <v>1.2754456294358691</v>
      </c>
      <c r="Q15" s="79">
        <f t="shared" si="5"/>
        <v>1.318468303128252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2">
        <f>G7</f>
        <v>2018</v>
      </c>
      <c r="H19" s="152">
        <f t="shared" ref="H19:Q19" si="6">H7</f>
        <v>2019</v>
      </c>
      <c r="I19" s="152">
        <f t="shared" si="6"/>
        <v>2020</v>
      </c>
      <c r="J19" s="152">
        <f t="shared" si="6"/>
        <v>2021</v>
      </c>
      <c r="K19" s="152">
        <f t="shared" si="6"/>
        <v>2022</v>
      </c>
      <c r="L19" s="173" t="str">
        <f>L7</f>
        <v>2023 Jan-Jun</v>
      </c>
      <c r="M19" s="152" t="str">
        <f t="shared" si="6"/>
        <v>2023-24</v>
      </c>
      <c r="N19" s="152" t="str">
        <f t="shared" si="6"/>
        <v>2024–25</v>
      </c>
      <c r="O19" s="152" t="str">
        <f t="shared" si="6"/>
        <v>2025–26</v>
      </c>
      <c r="P19" s="152" t="str">
        <f t="shared" si="6"/>
        <v>2026–27</v>
      </c>
      <c r="Q19" s="152" t="str">
        <f t="shared" si="6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241">
        <v>3.1433310206986365E-2</v>
      </c>
      <c r="H20" s="241">
        <v>3.1396883250304652E-2</v>
      </c>
      <c r="I20" s="241">
        <v>3.0454921597609097E-2</v>
      </c>
      <c r="J20" s="241">
        <v>2.9191390630260772E-2</v>
      </c>
      <c r="K20" s="241">
        <v>2.7999490153304274E-2</v>
      </c>
      <c r="L20" s="241">
        <v>-4.3672475431518754E-3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8"/>
      <c r="H21" s="168"/>
      <c r="I21" s="168"/>
      <c r="J21" s="168"/>
      <c r="K21" s="168"/>
      <c r="L21" s="168"/>
      <c r="M21" s="241">
        <v>1.9510401329464598E-2</v>
      </c>
      <c r="N21" s="241">
        <v>1.9994085930152311E-2</v>
      </c>
      <c r="O21" s="241">
        <v>2.0381033610702443E-2</v>
      </c>
      <c r="P21" s="241">
        <v>2.0864718211390045E-2</v>
      </c>
      <c r="Q21" s="241">
        <v>2.1348402812077821E-2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J22" si="7">IF(AND(G13&lt;&gt;"",G20&lt;&gt;""),((1+G20)*(1+G13)-1),"")</f>
        <v>5.1378153222038536E-2</v>
      </c>
      <c r="H22" s="125">
        <f t="shared" si="7"/>
        <v>5.2826086786670556E-2</v>
      </c>
      <c r="I22" s="125">
        <f t="shared" si="7"/>
        <v>4.6869247782349799E-2</v>
      </c>
      <c r="J22" s="125">
        <f t="shared" si="7"/>
        <v>2.5605357910294835E-2</v>
      </c>
      <c r="K22" s="125">
        <f>IF(AND(K13&lt;&gt;"",K20&lt;&gt;""),((1+K20)*(1+K13)-1),"")</f>
        <v>6.7537932082277319E-2</v>
      </c>
      <c r="L22" s="175">
        <f>IF(AND(L13&lt;&gt;"",L20&lt;&gt;""),((1+L20)*(1+L13)-1),"")</f>
        <v>1.6584620143229589E-2</v>
      </c>
      <c r="M22" s="125">
        <f>IF(AND(M14&lt;&gt;"",M21&lt;&gt;""),((1+M21)*(1+M14)-1),"")</f>
        <v>5.3900000000000059E-2</v>
      </c>
      <c r="N22" s="125">
        <f t="shared" ref="N22:Q22" si="8">IF(AND(N14&lt;&gt;"",N21&lt;&gt;""),((1+N21)*(1+N14)-1),"")</f>
        <v>5.4400000000000004E-2</v>
      </c>
      <c r="O22" s="125">
        <f t="shared" si="8"/>
        <v>5.479999999999996E-2</v>
      </c>
      <c r="P22" s="125">
        <f t="shared" si="8"/>
        <v>5.5299999999999905E-2</v>
      </c>
      <c r="Q22" s="125">
        <f t="shared" si="8"/>
        <v>5.5800000000000072E-2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spans="13:17" ht="18" customHeight="1">
      <c r="M107" s="16"/>
      <c r="N107" s="16"/>
      <c r="O107" s="16"/>
      <c r="P107" s="16"/>
      <c r="Q107" s="16"/>
    </row>
    <row r="108" spans="13:17" ht="18" customHeight="1">
      <c r="M108" s="246"/>
      <c r="N108" s="247"/>
      <c r="O108" s="248"/>
      <c r="P108" s="248"/>
      <c r="Q108" s="24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tabSelected="1" zoomScaleNormal="100" workbookViewId="0">
      <selection activeCell="M29" sqref="M2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89.28515625" style="2" bestFit="1" customWidth="1"/>
    <col min="14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  <c r="L1" s="197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IF('Input | General'!D14="Yes",'Input | General'!D13,"n/a")</f>
        <v>2018</v>
      </c>
      <c r="I6" s="154">
        <f>IF('Input | General'!E14="Yes",'Input | General'!E13,"n/a")</f>
        <v>2019</v>
      </c>
      <c r="J6" s="154">
        <f>IF('Input | General'!F14="Yes",'Input | General'!F13,"n/a")</f>
        <v>2020</v>
      </c>
      <c r="K6" s="154">
        <f>IF('Input | General'!G14="Yes",'Input | General'!G13,"n/a")</f>
        <v>2021</v>
      </c>
      <c r="L6" s="154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242">
        <v>99.635361585198353</v>
      </c>
      <c r="I8" s="242">
        <v>87.104757120117114</v>
      </c>
      <c r="J8" s="242">
        <v>90.467271334465778</v>
      </c>
      <c r="K8" s="242">
        <v>80.132338298031726</v>
      </c>
      <c r="L8" s="242">
        <v>78.125702981435623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242">
        <v>8.2630292767053941</v>
      </c>
      <c r="I9" s="242">
        <v>8.2591689359608242</v>
      </c>
      <c r="J9" s="242">
        <v>8.2726801285668241</v>
      </c>
      <c r="K9" s="242">
        <v>8.2939120026619708</v>
      </c>
      <c r="L9" s="242">
        <v>8.303562854523399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242"/>
      <c r="I10" s="242"/>
      <c r="J10" s="242"/>
      <c r="K10" s="242"/>
      <c r="L10" s="242"/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5</v>
      </c>
      <c r="D12" s="68" t="s">
        <v>56</v>
      </c>
      <c r="E12" s="155" t="s">
        <v>46</v>
      </c>
      <c r="F12" s="156">
        <f>'Input | Inflation and Disc Rate'!$F$7</f>
        <v>2017</v>
      </c>
      <c r="G12" s="60"/>
      <c r="H12" s="58">
        <f>IF(H6="", "", H8-H9-H10)</f>
        <v>91.372332308492958</v>
      </c>
      <c r="I12" s="58">
        <f t="shared" ref="I12:L12" si="0">IF(I6="", "", I8-I9-I10)</f>
        <v>78.845588184156284</v>
      </c>
      <c r="J12" s="58">
        <f t="shared" si="0"/>
        <v>82.194591205898959</v>
      </c>
      <c r="K12" s="58">
        <f t="shared" si="0"/>
        <v>71.838426295369757</v>
      </c>
      <c r="L12" s="58">
        <f t="shared" si="0"/>
        <v>69.822140126912217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4">
        <f>H6</f>
        <v>2018</v>
      </c>
      <c r="I16" s="154">
        <f t="shared" ref="I16:L16" si="1">I6</f>
        <v>2019</v>
      </c>
      <c r="J16" s="154">
        <f t="shared" si="1"/>
        <v>2020</v>
      </c>
      <c r="K16" s="154">
        <f t="shared" si="1"/>
        <v>2021</v>
      </c>
      <c r="L16" s="154">
        <f t="shared" si="1"/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242">
        <v>95.993711219999994</v>
      </c>
      <c r="I18" s="242">
        <v>87.510417969999992</v>
      </c>
      <c r="J18" s="242">
        <v>85.23925208</v>
      </c>
      <c r="K18" s="242">
        <v>87.299538470000016</v>
      </c>
      <c r="L18" s="244">
        <f>'[15]F2. Capex'!$C$42/1000000-'[15]F2. Capex'!$C$79/1000000</f>
        <v>74.693567799999997</v>
      </c>
      <c r="M18" s="245" t="s">
        <v>193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243">
        <v>1.24996993</v>
      </c>
      <c r="I19" s="242">
        <v>2.0281096299999999</v>
      </c>
      <c r="J19" s="242">
        <v>5.0220740799999994</v>
      </c>
      <c r="K19" s="242">
        <v>3.5316191699999999</v>
      </c>
      <c r="L19" s="244">
        <f>'[15]F2. Capex'!$C$118/1000000</f>
        <v>5.2453840099999995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243">
        <v>2.1326619999999998E-2</v>
      </c>
      <c r="I20" s="242">
        <v>0</v>
      </c>
      <c r="J20" s="242">
        <v>0</v>
      </c>
      <c r="K20" s="242">
        <v>0</v>
      </c>
      <c r="L20" s="242">
        <v>0</v>
      </c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39">
        <v>0.82534799999999997</v>
      </c>
      <c r="I21" s="138">
        <v>1.0699339999999999</v>
      </c>
      <c r="J21" s="138">
        <v>1.0972900000000001</v>
      </c>
      <c r="K21" s="138">
        <v>0.19106400000000001</v>
      </c>
      <c r="L21" s="138"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7" t="s">
        <v>46</v>
      </c>
      <c r="F23" s="157" t="s">
        <v>49</v>
      </c>
      <c r="G23" s="60"/>
      <c r="H23" s="58">
        <f>IF(H16="", "", H18-H19-H20-H21)</f>
        <v>93.897066669999987</v>
      </c>
      <c r="I23" s="58">
        <f t="shared" ref="I23:L23" si="2">IF(I16="", "", I18-I19-I20-I21)</f>
        <v>84.412374339999985</v>
      </c>
      <c r="J23" s="58">
        <f t="shared" si="2"/>
        <v>79.119888000000003</v>
      </c>
      <c r="K23" s="58">
        <f t="shared" si="2"/>
        <v>83.57685530000002</v>
      </c>
      <c r="L23" s="58">
        <f t="shared" si="2"/>
        <v>69.448183790000002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4" t="str">
        <f>'Input | General'!D18</f>
        <v>2023-24</v>
      </c>
      <c r="I27" s="154" t="str">
        <f>'Input | General'!E18</f>
        <v>2024–25</v>
      </c>
      <c r="J27" s="154" t="str">
        <f>'Input | General'!F18</f>
        <v>2025–26</v>
      </c>
      <c r="K27" s="154" t="str">
        <f>'Input | General'!G18</f>
        <v>2026–27</v>
      </c>
      <c r="L27" s="154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8">
        <v>0</v>
      </c>
      <c r="I29" s="138">
        <v>0</v>
      </c>
      <c r="J29" s="138">
        <v>0</v>
      </c>
      <c r="K29" s="138">
        <v>0</v>
      </c>
      <c r="L29" s="138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199">
        <v>2017</v>
      </c>
      <c r="G30" s="60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7" s="54" customFormat="1" ht="12.75" customHeight="1">
      <c r="A33" s="8"/>
      <c r="B33" s="23" t="s">
        <v>30</v>
      </c>
      <c r="D33" s="55"/>
      <c r="E33" s="55"/>
      <c r="F33" s="55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38" priority="21">
      <formula>IF($H$6&lt;&gt;"","FALSE","TRUE")</formula>
    </cfRule>
  </conditionalFormatting>
  <conditionalFormatting sqref="H18:L18">
    <cfRule type="expression" dxfId="37" priority="16">
      <formula>IF($H$6&lt;&gt;"","FALSE","TRUE")</formula>
    </cfRule>
  </conditionalFormatting>
  <conditionalFormatting sqref="H19:H20">
    <cfRule type="expression" dxfId="36" priority="11">
      <formula>IF($H$6&lt;&gt;"","FALSE","TRUE")</formula>
    </cfRule>
  </conditionalFormatting>
  <conditionalFormatting sqref="I10:L10">
    <cfRule type="expression" dxfId="35" priority="7">
      <formula>IF($H$6&lt;&gt;"","FALSE","TRUE")</formula>
    </cfRule>
  </conditionalFormatting>
  <conditionalFormatting sqref="I19:K20">
    <cfRule type="expression" dxfId="34" priority="6">
      <formula>IF($H$6&lt;&gt;"","FALSE","TRUE")</formula>
    </cfRule>
  </conditionalFormatting>
  <conditionalFormatting sqref="H29:L29">
    <cfRule type="expression" dxfId="33" priority="5">
      <formula>IF($H$6&lt;&gt;"","FALSE","TRUE")</formula>
    </cfRule>
  </conditionalFormatting>
  <conditionalFormatting sqref="H21">
    <cfRule type="expression" dxfId="32" priority="4">
      <formula>IF($H$6&lt;&gt;"","FALSE","TRUE")</formula>
    </cfRule>
  </conditionalFormatting>
  <conditionalFormatting sqref="I21:K21">
    <cfRule type="expression" dxfId="31" priority="3">
      <formula>IF($H$6&lt;&gt;"","FALSE","TRUE")</formula>
    </cfRule>
  </conditionalFormatting>
  <conditionalFormatting sqref="L19:L20">
    <cfRule type="expression" dxfId="30" priority="2">
      <formula>IF($H$6&lt;&gt;"","FALSE","TRUE")</formula>
    </cfRule>
  </conditionalFormatting>
  <conditionalFormatting sqref="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zoomScale="90" zoomScaleNormal="90" workbookViewId="0">
      <selection activeCell="L15" sqref="L15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25.28515625" style="13" customWidth="1"/>
    <col min="6" max="6" width="9.140625" style="13" customWidth="1"/>
    <col min="7" max="7" width="2.855468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85546875" style="2" customWidth="1"/>
    <col min="14" max="14" width="14.5703125" style="2" customWidth="1"/>
    <col min="15" max="15" width="2.85546875" style="2" customWidth="1"/>
    <col min="16" max="24" width="0" style="2" hidden="1" customWidth="1"/>
    <col min="25" max="16384" width="12.7109375" style="2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</row>
    <row r="2" spans="2:14" ht="18" customHeight="1">
      <c r="B2" s="10" t="s">
        <v>157</v>
      </c>
      <c r="D2" s="10"/>
      <c r="E2" s="212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158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IF('[13]Input | General'!D18="Yes",'[13]Input | General'!D15,"n/a")</f>
        <v>2018</v>
      </c>
      <c r="I6" s="154">
        <f>IF('[13]Input | General'!E18="Yes",'[13]Input | General'!E15,"n/a")</f>
        <v>2019</v>
      </c>
      <c r="J6" s="154">
        <f>IF('[13]Input | General'!F18="Yes",'[13]Input | General'!F15,"n/a")</f>
        <v>2020</v>
      </c>
      <c r="K6" s="154">
        <f>IF('[13]Input | General'!G18="Yes",'[13]Input | General'!G15,"n/a")</f>
        <v>2021</v>
      </c>
      <c r="L6" s="154" t="str">
        <f>IF('[13]Input | General'!H18="Yes",'[13]Input | General'!H15,"n/a")</f>
        <v>n/a</v>
      </c>
      <c r="N6" s="2"/>
    </row>
    <row r="7" spans="2:14" s="60" customFormat="1" ht="10.5" customHeight="1">
      <c r="C7" s="213" t="s">
        <v>159</v>
      </c>
      <c r="N7" s="2"/>
    </row>
    <row r="8" spans="2:14" s="60" customFormat="1" ht="10.5" customHeight="1">
      <c r="H8" s="214"/>
      <c r="N8" s="2"/>
    </row>
    <row r="9" spans="2:14" ht="10.5" customHeight="1">
      <c r="C9" s="215" t="s">
        <v>160</v>
      </c>
      <c r="D9" s="70" t="str">
        <f>'Input | General'!$D$6</f>
        <v>Multinet Gas</v>
      </c>
      <c r="E9" s="70" t="s">
        <v>161</v>
      </c>
      <c r="F9" s="70" t="s">
        <v>162</v>
      </c>
      <c r="G9" s="60"/>
      <c r="H9" s="238">
        <v>699102</v>
      </c>
      <c r="I9" s="238">
        <v>705047</v>
      </c>
      <c r="J9" s="238">
        <v>711484</v>
      </c>
      <c r="K9" s="238">
        <v>717604</v>
      </c>
      <c r="L9" s="217"/>
    </row>
    <row r="10" spans="2:14" s="60" customFormat="1" ht="10.5" customHeight="1">
      <c r="C10" s="215" t="s">
        <v>163</v>
      </c>
      <c r="D10" s="70" t="str">
        <f>'Input | General'!$D$6</f>
        <v>Multinet Gas</v>
      </c>
      <c r="E10" s="70" t="s">
        <v>161</v>
      </c>
      <c r="F10" s="70" t="s">
        <v>162</v>
      </c>
      <c r="H10" s="238">
        <v>705047</v>
      </c>
      <c r="I10" s="238">
        <v>711484</v>
      </c>
      <c r="J10" s="238">
        <v>717604</v>
      </c>
      <c r="K10" s="238">
        <v>719436</v>
      </c>
      <c r="L10" s="217"/>
      <c r="N10" s="2"/>
    </row>
    <row r="11" spans="2:14" s="60" customFormat="1" ht="10.5" customHeight="1">
      <c r="H11" s="218"/>
      <c r="I11" s="218"/>
      <c r="J11" s="218"/>
      <c r="K11" s="218"/>
      <c r="N11" s="2"/>
    </row>
    <row r="12" spans="2:14" ht="10.5" customHeight="1">
      <c r="C12" s="69" t="s">
        <v>164</v>
      </c>
      <c r="D12" s="68" t="s">
        <v>56</v>
      </c>
      <c r="E12" s="155" t="s">
        <v>161</v>
      </c>
      <c r="F12" s="156" t="s">
        <v>162</v>
      </c>
      <c r="G12" s="60"/>
      <c r="H12" s="140">
        <f>IFERROR(AVERAGE(H9:H10),NA())</f>
        <v>702074.5</v>
      </c>
      <c r="I12" s="140">
        <f>IFERROR(AVERAGE(I9:I10),NA())</f>
        <v>708265.5</v>
      </c>
      <c r="J12" s="140">
        <f>IFERROR(AVERAGE(J9:J10),NA())</f>
        <v>714544</v>
      </c>
      <c r="K12" s="140">
        <f>IFERROR(AVERAGE(K9:K10),NA())</f>
        <v>718520</v>
      </c>
      <c r="L12" s="219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5" t="str">
        <f>"Conversion to per "&amp;H15&amp;" customer basis"</f>
        <v>Conversion to per 1000 customer basis</v>
      </c>
      <c r="D15" s="227" t="s">
        <v>182</v>
      </c>
      <c r="E15" s="70" t="s">
        <v>161</v>
      </c>
      <c r="F15" s="70" t="s">
        <v>162</v>
      </c>
      <c r="H15" s="136">
        <f>'[13]Input | Performance Targets'!H15</f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3" t="s">
        <v>165</v>
      </c>
      <c r="H18" s="220"/>
      <c r="I18" s="220"/>
      <c r="J18" s="220"/>
      <c r="N18" s="2"/>
    </row>
    <row r="19" spans="2:14" s="60" customFormat="1" ht="10.5" customHeight="1">
      <c r="H19" s="214"/>
      <c r="N19" s="2"/>
    </row>
    <row r="20" spans="2:14" ht="10.5" customHeight="1">
      <c r="C20" s="215" t="s">
        <v>160</v>
      </c>
      <c r="D20" s="70" t="str">
        <f>'Input | General'!$D$6</f>
        <v>Multinet Gas</v>
      </c>
      <c r="E20" s="70" t="s">
        <v>166</v>
      </c>
      <c r="F20" s="70" t="s">
        <v>162</v>
      </c>
      <c r="G20" s="60"/>
      <c r="H20" s="216">
        <v>10041</v>
      </c>
      <c r="I20" s="216">
        <v>10018</v>
      </c>
      <c r="J20" s="216">
        <v>10001</v>
      </c>
      <c r="K20" s="216">
        <v>9978</v>
      </c>
      <c r="L20" s="221"/>
    </row>
    <row r="21" spans="2:14" s="60" customFormat="1" ht="10.5" customHeight="1">
      <c r="C21" s="215" t="s">
        <v>163</v>
      </c>
      <c r="D21" s="70" t="str">
        <f>'Input | General'!$D$6</f>
        <v>Multinet Gas</v>
      </c>
      <c r="E21" s="70" t="s">
        <v>167</v>
      </c>
      <c r="F21" s="70" t="s">
        <v>162</v>
      </c>
      <c r="H21" s="216">
        <v>10018</v>
      </c>
      <c r="I21" s="216">
        <v>10001</v>
      </c>
      <c r="J21" s="216">
        <v>9978</v>
      </c>
      <c r="K21" s="216">
        <v>9941</v>
      </c>
      <c r="L21" s="216"/>
      <c r="N21" s="2"/>
    </row>
    <row r="22" spans="2:14" s="60" customFormat="1" ht="10.5" customHeight="1">
      <c r="H22" s="220"/>
      <c r="I22" s="220"/>
      <c r="J22" s="214"/>
      <c r="N22" s="2"/>
    </row>
    <row r="23" spans="2:14" ht="10.5" customHeight="1">
      <c r="C23" s="69" t="s">
        <v>168</v>
      </c>
      <c r="D23" s="68" t="s">
        <v>56</v>
      </c>
      <c r="E23" s="155" t="s">
        <v>167</v>
      </c>
      <c r="F23" s="156" t="s">
        <v>162</v>
      </c>
      <c r="G23" s="60"/>
      <c r="H23" s="140">
        <f>IFERROR(AVERAGE(H20:H21),NA())</f>
        <v>10029.5</v>
      </c>
      <c r="I23" s="140">
        <f>IFERROR(AVERAGE(I20:I21),NA())</f>
        <v>10009.5</v>
      </c>
      <c r="J23" s="140">
        <f>IFERROR(AVERAGE(J20:J21),NA())</f>
        <v>9989.5</v>
      </c>
      <c r="K23" s="140">
        <f>IFERROR(AVERAGE(K20:K21),NA())</f>
        <v>9959.5</v>
      </c>
      <c r="L23" s="219" t="e">
        <f>IFERROR(AVERAGE(L20:L21),NA())</f>
        <v>#N/A</v>
      </c>
    </row>
    <row r="24" spans="2:14" s="60" customFormat="1" ht="10.5" customHeight="1">
      <c r="H24" s="222"/>
      <c r="I24" s="222"/>
      <c r="J24" s="222"/>
    </row>
    <row r="25" spans="2:14" s="8" customFormat="1" ht="12.75" customHeight="1">
      <c r="B25" s="23" t="s">
        <v>169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4">
        <f>H6</f>
        <v>2018</v>
      </c>
      <c r="I27" s="154">
        <f>I6</f>
        <v>2019</v>
      </c>
      <c r="J27" s="154">
        <f>J6</f>
        <v>2020</v>
      </c>
      <c r="K27" s="154">
        <f>K6</f>
        <v>2021</v>
      </c>
      <c r="L27" s="154" t="str">
        <f>L6</f>
        <v>n/a</v>
      </c>
      <c r="N27" s="2"/>
    </row>
    <row r="28" spans="2:14" s="60" customFormat="1" ht="10.5" customHeight="1">
      <c r="C28" s="213" t="s">
        <v>170</v>
      </c>
      <c r="N28" s="2"/>
    </row>
    <row r="29" spans="2:14" s="60" customFormat="1" ht="10.5" customHeight="1">
      <c r="H29" s="214"/>
      <c r="N29" s="2"/>
    </row>
    <row r="30" spans="2:14" s="60" customFormat="1" ht="10.5" customHeight="1">
      <c r="C30" s="215" t="s">
        <v>171</v>
      </c>
      <c r="D30" s="70" t="str">
        <f>'Input | General'!$D$6</f>
        <v>Multinet Gas</v>
      </c>
      <c r="E30" s="70" t="s">
        <v>172</v>
      </c>
      <c r="F30" s="70" t="s">
        <v>162</v>
      </c>
      <c r="H30" s="216">
        <v>4165</v>
      </c>
      <c r="I30" s="216">
        <v>5426</v>
      </c>
      <c r="J30" s="216">
        <v>6907</v>
      </c>
      <c r="K30" s="216">
        <v>5396</v>
      </c>
      <c r="L30" s="223"/>
      <c r="M30" s="224"/>
      <c r="N30" s="2"/>
    </row>
    <row r="31" spans="2:14" s="60" customFormat="1" ht="10.5" customHeight="1">
      <c r="C31" s="215" t="s">
        <v>173</v>
      </c>
      <c r="D31" s="70" t="str">
        <f>'Input | General'!$D$6</f>
        <v>Multinet Gas</v>
      </c>
      <c r="E31" s="70" t="s">
        <v>174</v>
      </c>
      <c r="F31" s="70" t="s">
        <v>162</v>
      </c>
      <c r="H31" s="216">
        <v>1674259</v>
      </c>
      <c r="I31" s="216">
        <v>2613793</v>
      </c>
      <c r="J31" s="216">
        <v>2577633</v>
      </c>
      <c r="K31" s="216">
        <v>1484700</v>
      </c>
      <c r="L31" s="223"/>
      <c r="N31" s="2"/>
    </row>
    <row r="32" spans="2:14" s="60" customFormat="1" ht="10.5" customHeight="1">
      <c r="J32" s="225"/>
      <c r="N32" s="2"/>
    </row>
    <row r="33" spans="2:15" s="60" customFormat="1" ht="10.5" customHeight="1">
      <c r="C33" s="213" t="s">
        <v>175</v>
      </c>
      <c r="N33" s="2"/>
    </row>
    <row r="34" spans="2:15" s="60" customFormat="1" ht="10.5" customHeight="1">
      <c r="H34" s="214"/>
      <c r="N34" s="2"/>
    </row>
    <row r="35" spans="2:15" s="60" customFormat="1" ht="10.5" customHeight="1">
      <c r="C35" s="215" t="s">
        <v>176</v>
      </c>
      <c r="D35" s="70" t="str">
        <f>'Input | General'!$D$6</f>
        <v>Multinet Gas</v>
      </c>
      <c r="E35" s="70" t="s">
        <v>177</v>
      </c>
      <c r="F35" s="70" t="s">
        <v>162</v>
      </c>
      <c r="H35" s="216">
        <v>460</v>
      </c>
      <c r="I35" s="216">
        <v>732</v>
      </c>
      <c r="J35" s="216">
        <v>795</v>
      </c>
      <c r="K35" s="216">
        <v>590</v>
      </c>
      <c r="L35" s="223"/>
      <c r="N35" s="2"/>
    </row>
    <row r="36" spans="2:15" s="60" customFormat="1" ht="10.5" customHeight="1">
      <c r="C36" s="215" t="s">
        <v>178</v>
      </c>
      <c r="D36" s="70" t="str">
        <f>'Input | General'!$D$6</f>
        <v>Multinet Gas</v>
      </c>
      <c r="E36" s="70" t="s">
        <v>177</v>
      </c>
      <c r="F36" s="70" t="s">
        <v>162</v>
      </c>
      <c r="H36" s="216">
        <v>2986</v>
      </c>
      <c r="I36" s="216">
        <v>3199</v>
      </c>
      <c r="J36" s="216">
        <v>3381</v>
      </c>
      <c r="K36" s="216">
        <v>2924</v>
      </c>
      <c r="L36" s="223"/>
      <c r="N36" s="2"/>
    </row>
    <row r="37" spans="2:15" s="60" customFormat="1" ht="10.5" customHeight="1">
      <c r="C37" s="215" t="s">
        <v>179</v>
      </c>
      <c r="D37" s="70" t="str">
        <f>'Input | General'!$D$6</f>
        <v>Multinet Gas</v>
      </c>
      <c r="E37" s="70" t="s">
        <v>177</v>
      </c>
      <c r="F37" s="70" t="s">
        <v>162</v>
      </c>
      <c r="H37" s="216">
        <v>9130</v>
      </c>
      <c r="I37" s="216">
        <v>9074</v>
      </c>
      <c r="J37" s="216">
        <v>9296</v>
      </c>
      <c r="K37" s="216">
        <v>7505</v>
      </c>
      <c r="L37" s="223"/>
      <c r="N37" s="2"/>
    </row>
    <row r="38" spans="2:15" s="60" customFormat="1" ht="10.5" customHeight="1">
      <c r="H38" s="214"/>
      <c r="J38" s="225"/>
      <c r="N38" s="2"/>
    </row>
    <row r="39" spans="2:15" s="8" customFormat="1" ht="12.75" customHeight="1">
      <c r="B39" s="66" t="s">
        <v>180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4">
        <f>H6</f>
        <v>2018</v>
      </c>
      <c r="I41" s="154">
        <f>I6</f>
        <v>2019</v>
      </c>
      <c r="J41" s="154">
        <f>J6</f>
        <v>2020</v>
      </c>
      <c r="K41" s="154">
        <f>K6</f>
        <v>2021</v>
      </c>
      <c r="L41" s="154" t="str">
        <f>L6</f>
        <v>n/a</v>
      </c>
      <c r="M41" s="60"/>
      <c r="N41" s="154" t="s">
        <v>181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132</v>
      </c>
      <c r="D43" s="70" t="s">
        <v>56</v>
      </c>
      <c r="E43" s="70" t="str">
        <f>'[13]Input | Performance Targets'!E44</f>
        <v>outages per 1000 customers</v>
      </c>
      <c r="F43" s="70" t="s">
        <v>162</v>
      </c>
      <c r="G43" s="60"/>
      <c r="H43" s="228">
        <f>IF('Input | General'!D$18="No","",H30/H$12*$H$15)</f>
        <v>5.9324188529849753</v>
      </c>
      <c r="I43" s="228">
        <f>IF('Input | General'!E$18="No","",I30/I$12*$H$15)</f>
        <v>7.6609689445553961</v>
      </c>
      <c r="J43" s="228">
        <f>IF('Input | General'!F$18="No","",J30/J$12*$H$15)</f>
        <v>9.6663046642334134</v>
      </c>
      <c r="K43" s="228">
        <f>IF('Input | General'!G$18="No","",K30/K$12*$H$15)</f>
        <v>7.5098814229249014</v>
      </c>
      <c r="L43" s="228" t="e">
        <f>IF('Input | General'!H$18="No","",L30/L$12*$H$15)</f>
        <v>#N/A</v>
      </c>
      <c r="N43" s="228">
        <f>AVERAGEIF(H43:L43,"&lt;&gt;#N/A")</f>
        <v>7.6923934711746718</v>
      </c>
      <c r="O43" s="226"/>
    </row>
    <row r="44" spans="2:15" ht="10.5" customHeight="1">
      <c r="B44" s="65"/>
      <c r="C44" s="72" t="s">
        <v>131</v>
      </c>
      <c r="D44" s="70" t="s">
        <v>56</v>
      </c>
      <c r="E44" s="70" t="str">
        <f>'[13]Input | Performance Targets'!E45</f>
        <v>minutes per 1000 customers</v>
      </c>
      <c r="F44" s="70" t="s">
        <v>162</v>
      </c>
      <c r="G44" s="123"/>
      <c r="H44" s="228">
        <f>IF('Input | General'!D$18="No","",H31/H$12*$H$15)</f>
        <v>2384.7312500311573</v>
      </c>
      <c r="I44" s="228">
        <f>IF('Input | General'!E$18="No","",I31/I$12*$H$15)</f>
        <v>3690.4141173048806</v>
      </c>
      <c r="J44" s="228">
        <f>IF('Input | General'!F$18="No","",J31/J$12*$H$15)</f>
        <v>3607.381770751696</v>
      </c>
      <c r="K44" s="228">
        <f>IF('Input | General'!G$18="No","",K31/K$12*$H$15)</f>
        <v>2066.3307910705339</v>
      </c>
      <c r="L44" s="228" t="e">
        <f>IF('Input | General'!H$18="No","",L31/L$12*$H$15)</f>
        <v>#N/A</v>
      </c>
      <c r="N44" s="228">
        <f>AVERAGEIF(H44:L44,"&lt;&gt;#N/A")</f>
        <v>2937.2144822895666</v>
      </c>
    </row>
    <row r="45" spans="2:15" ht="10.5" customHeight="1">
      <c r="B45" s="65"/>
      <c r="C45" s="72" t="s">
        <v>135</v>
      </c>
      <c r="D45" s="70" t="s">
        <v>56</v>
      </c>
      <c r="E45" s="70" t="str">
        <f>'[13]Input | Performance Targets'!E46</f>
        <v>leaks per km of main</v>
      </c>
      <c r="F45" s="70" t="s">
        <v>162</v>
      </c>
      <c r="G45" s="123"/>
      <c r="H45" s="228">
        <f>IF('Input | General'!D$18="No","",H35/H23)</f>
        <v>4.5864699137544242E-2</v>
      </c>
      <c r="I45" s="228">
        <f>IF('Input | General'!E$18="No","",I35/I23)</f>
        <v>7.313052600029972E-2</v>
      </c>
      <c r="J45" s="228">
        <f>IF('Input | General'!F$18="No","",J35/J23)</f>
        <v>7.9583562740877925E-2</v>
      </c>
      <c r="K45" s="228">
        <f>IF('Input | General'!G$18="No","",K35/K23)</f>
        <v>5.9239921682815402E-2</v>
      </c>
      <c r="L45" s="228" t="e">
        <f>IF('Input | General'!H$18="No","",L35/L23)</f>
        <v>#N/A</v>
      </c>
      <c r="N45" s="228">
        <f>AVERAGEIF(H45:L45,"&lt;&gt;#N/A")</f>
        <v>6.4454677390384324E-2</v>
      </c>
    </row>
    <row r="46" spans="2:15" ht="10.5" customHeight="1">
      <c r="B46" s="65"/>
      <c r="C46" s="72" t="s">
        <v>136</v>
      </c>
      <c r="D46" s="70" t="s">
        <v>56</v>
      </c>
      <c r="E46" s="70" t="str">
        <f>'[13]Input | Performance Targets'!E47</f>
        <v>events per 1000 customers</v>
      </c>
      <c r="F46" s="70" t="s">
        <v>162</v>
      </c>
      <c r="G46" s="123"/>
      <c r="H46" s="228">
        <f>IF('Input | General'!D$18="No","",H36/H12*$H$15)</f>
        <v>4.2531098907594567</v>
      </c>
      <c r="I46" s="228">
        <f>IF('Input | General'!E$18="No","",I36/I12*$H$15)</f>
        <v>4.5166678314840967</v>
      </c>
      <c r="J46" s="228">
        <f>IF('Input | General'!F$18="No","",J36/J12*$H$15)</f>
        <v>4.7316890212499159</v>
      </c>
      <c r="K46" s="228">
        <f>IF('Input | General'!G$18="No","",K36/K12*$H$15)</f>
        <v>4.0694761454100092</v>
      </c>
      <c r="L46" s="228" t="e">
        <f>IF('Input | General'!H$18="No","",L36/L12*$H$15)</f>
        <v>#N/A</v>
      </c>
      <c r="N46" s="228">
        <f>AVERAGEIF(H46:L46,"&lt;&gt;#N/A")</f>
        <v>4.3927357222258703</v>
      </c>
    </row>
    <row r="47" spans="2:15" ht="10.5" customHeight="1">
      <c r="B47" s="65"/>
      <c r="C47" s="72" t="s">
        <v>137</v>
      </c>
      <c r="D47" s="70" t="s">
        <v>56</v>
      </c>
      <c r="E47" s="70" t="str">
        <f>'[13]Input | Performance Targets'!E48</f>
        <v>leaks per 1000 customers</v>
      </c>
      <c r="F47" s="70" t="s">
        <v>162</v>
      </c>
      <c r="G47" s="123"/>
      <c r="H47" s="228">
        <f>IF('Input | General'!D$18="No","",H37/H12*$H$15)</f>
        <v>13.004317917827809</v>
      </c>
      <c r="I47" s="228">
        <f>IF('Input | General'!E$18="No","",I37/I12*$H$15)</f>
        <v>12.811579838351578</v>
      </c>
      <c r="J47" s="228">
        <f>IF('Input | General'!F$18="No","",J37/J12*$H$15)</f>
        <v>13.009695694037037</v>
      </c>
      <c r="K47" s="228">
        <f>IF('Input | General'!G$18="No","",K37/K12*$H$15)</f>
        <v>10.445081556532873</v>
      </c>
      <c r="L47" s="228" t="e">
        <f>IF('Input | General'!H$18="No","",L37/L12*$H$15)</f>
        <v>#N/A</v>
      </c>
      <c r="N47" s="228">
        <f>AVERAGEIF(H47:L47,"&lt;&gt;#N/A")</f>
        <v>12.317668751687325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J13" sqref="J13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7" width="12.7109375" style="11" customWidth="1"/>
    <col min="8" max="8" width="14.570312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129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138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1" t="s">
        <v>130</v>
      </c>
      <c r="E9" s="201" t="s">
        <v>7</v>
      </c>
      <c r="F9" s="201" t="s">
        <v>134</v>
      </c>
      <c r="G9" s="201" t="s">
        <v>133</v>
      </c>
      <c r="H9" s="201" t="s">
        <v>139</v>
      </c>
      <c r="J9" s="71"/>
      <c r="K9" s="71"/>
      <c r="L9" s="71"/>
      <c r="M9" s="71"/>
    </row>
    <row r="10" spans="1:13" s="62" customFormat="1" ht="11.25" customHeight="1">
      <c r="C10" s="61" t="s">
        <v>131</v>
      </c>
      <c r="D10" s="239">
        <v>6.7298514443679647</v>
      </c>
      <c r="E10" s="229">
        <f>'Input | Reported Performance'!N43</f>
        <v>7.6923934711746718</v>
      </c>
      <c r="F10" s="203">
        <f>200-(100*(E10/D10))</f>
        <v>85.697425347891837</v>
      </c>
      <c r="G10" s="202">
        <v>0.25</v>
      </c>
      <c r="H10" s="203">
        <f>F10*G10</f>
        <v>21.424356336972959</v>
      </c>
      <c r="J10" s="71"/>
      <c r="K10" s="71"/>
      <c r="L10" s="71"/>
      <c r="M10" s="71"/>
    </row>
    <row r="11" spans="1:13" s="62" customFormat="1" ht="11.25" customHeight="1">
      <c r="C11" s="61" t="s">
        <v>132</v>
      </c>
      <c r="D11" s="138">
        <v>2791.7543126293981</v>
      </c>
      <c r="E11" s="229">
        <f>'Input | Reported Performance'!N44</f>
        <v>2937.2144822895666</v>
      </c>
      <c r="F11" s="176">
        <f t="shared" ref="F11:F14" si="0">200-(100*(E11/D11))</f>
        <v>94.789650041834534</v>
      </c>
      <c r="G11" s="137">
        <v>0.25</v>
      </c>
      <c r="H11" s="176">
        <f t="shared" ref="H11:H14" si="1">F11*G11</f>
        <v>23.697412510458634</v>
      </c>
      <c r="J11" s="71"/>
      <c r="K11" s="71"/>
      <c r="L11" s="71"/>
      <c r="M11" s="71"/>
    </row>
    <row r="12" spans="1:13" s="62" customFormat="1" ht="11.25" customHeight="1">
      <c r="C12" s="61" t="s">
        <v>135</v>
      </c>
      <c r="D12" s="138">
        <v>6.1477995602560231E-2</v>
      </c>
      <c r="E12" s="229">
        <f>'Input | Reported Performance'!N45</f>
        <v>6.4454677390384324E-2</v>
      </c>
      <c r="F12" s="176">
        <f t="shared" si="0"/>
        <v>95.158134616054184</v>
      </c>
      <c r="G12" s="137">
        <v>0.312</v>
      </c>
      <c r="H12" s="176">
        <f t="shared" si="1"/>
        <v>29.689338000208906</v>
      </c>
      <c r="J12" s="71"/>
      <c r="K12" s="71"/>
      <c r="L12" s="71"/>
      <c r="M12" s="71"/>
    </row>
    <row r="13" spans="1:13" s="62" customFormat="1" ht="11.25" customHeight="1">
      <c r="C13" s="61" t="s">
        <v>136</v>
      </c>
      <c r="D13" s="138">
        <v>4.7173807868638047</v>
      </c>
      <c r="E13" s="229">
        <f>'Input | Reported Performance'!N46</f>
        <v>4.3927357222258703</v>
      </c>
      <c r="F13" s="176">
        <f t="shared" si="0"/>
        <v>106.88189228950847</v>
      </c>
      <c r="G13" s="137">
        <v>0.156</v>
      </c>
      <c r="H13" s="176">
        <f t="shared" si="1"/>
        <v>16.67357519716332</v>
      </c>
      <c r="J13" s="71"/>
      <c r="K13" s="71"/>
      <c r="L13" s="71"/>
      <c r="M13" s="71"/>
    </row>
    <row r="14" spans="1:13" s="62" customFormat="1" ht="11.25" customHeight="1">
      <c r="C14" s="61" t="s">
        <v>137</v>
      </c>
      <c r="D14" s="138">
        <v>8.9115688738216399</v>
      </c>
      <c r="E14" s="229">
        <f>'Input | Reported Performance'!N47</f>
        <v>12.317668751687325</v>
      </c>
      <c r="F14" s="176">
        <f t="shared" si="0"/>
        <v>61.778897452374025</v>
      </c>
      <c r="G14" s="137">
        <v>3.2000000000000001E-2</v>
      </c>
      <c r="H14" s="176">
        <f t="shared" si="1"/>
        <v>1.9769247184759688</v>
      </c>
      <c r="J14" s="71"/>
      <c r="K14" s="71"/>
      <c r="L14" s="71"/>
      <c r="M14" s="71"/>
    </row>
    <row r="15" spans="1:13" s="62" customFormat="1" ht="11.25" customHeight="1">
      <c r="C15" s="61" t="s">
        <v>140</v>
      </c>
      <c r="D15" s="71"/>
      <c r="E15" s="71"/>
      <c r="F15" s="71"/>
      <c r="G15" s="71"/>
      <c r="H15" s="176">
        <f>SUM(H10:H14)</f>
        <v>93.461606763279789</v>
      </c>
      <c r="J15" s="71"/>
      <c r="K15" s="71"/>
      <c r="L15" s="71"/>
      <c r="M15" s="71"/>
    </row>
    <row r="16" spans="1:13" s="62" customFormat="1" ht="11.25" customHeight="1">
      <c r="C16" s="61"/>
      <c r="D16" s="201" t="s">
        <v>142</v>
      </c>
      <c r="E16" s="201" t="s">
        <v>143</v>
      </c>
      <c r="F16" s="201" t="s">
        <v>144</v>
      </c>
      <c r="G16" s="201" t="s">
        <v>141</v>
      </c>
      <c r="H16" s="205"/>
      <c r="J16" s="71"/>
      <c r="K16" s="71"/>
      <c r="L16" s="71"/>
      <c r="M16" s="71"/>
    </row>
    <row r="17" spans="1:13" s="62" customFormat="1" ht="11.25" customHeight="1">
      <c r="C17" s="61" t="s">
        <v>145</v>
      </c>
      <c r="D17" s="204">
        <v>1</v>
      </c>
      <c r="E17" s="240">
        <f>(H15-80)/(100-80)</f>
        <v>0.67308033816398949</v>
      </c>
      <c r="F17" s="204">
        <v>0</v>
      </c>
      <c r="G17" s="240">
        <f>IF(H15&gt;=100,1,IF(H15&lt;80,0,E17))</f>
        <v>0.67308033816398949</v>
      </c>
      <c r="H17" s="205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5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5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topLeftCell="A4" zoomScale="115" zoomScaleNormal="115" workbookViewId="0">
      <selection activeCell="L14" sqref="L14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Multinet Gas 2023-28 Gas AA Proposal - Capital expenditure sharing scheme model</v>
      </c>
      <c r="C1" s="2"/>
      <c r="D1" s="96" t="s">
        <v>43</v>
      </c>
      <c r="E1" s="136" t="s">
        <v>44</v>
      </c>
      <c r="F1" s="140" t="s">
        <v>32</v>
      </c>
      <c r="G1" s="197" t="s">
        <v>97</v>
      </c>
      <c r="H1" s="198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4">
        <f>IF('Input | General'!D14="Yes",'Input | General'!D13,"n/a")</f>
        <v>2018</v>
      </c>
      <c r="E7" s="154">
        <f>IF('Input | General'!E14="Yes",'Input | General'!E13,"n/a")</f>
        <v>2019</v>
      </c>
      <c r="F7" s="154">
        <f>IF('Input | General'!F14="Yes",'Input | General'!F13,"n/a")</f>
        <v>2020</v>
      </c>
      <c r="G7" s="154">
        <f>IF('Input | General'!G14="Yes",'Input | General'!G13,"n/a")</f>
        <v>2021</v>
      </c>
      <c r="H7" s="158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1">
        <f>'Input | Inflation and Disc Rate'!G20</f>
        <v>3.1433310206986365E-2</v>
      </c>
      <c r="E8" s="142">
        <f>'Input | Inflation and Disc Rate'!H20</f>
        <v>3.1396883250304652E-2</v>
      </c>
      <c r="F8" s="142">
        <f>'Input | Inflation and Disc Rate'!I20</f>
        <v>3.0454921597609097E-2</v>
      </c>
      <c r="G8" s="142">
        <f>'Input | Inflation and Disc Rate'!J20</f>
        <v>2.9191390630260772E-2</v>
      </c>
      <c r="H8" s="143">
        <f>'Input | Inflation and Disc Rate'!K20</f>
        <v>2.7999490153304274E-2</v>
      </c>
      <c r="I8" s="87"/>
      <c r="J8" s="71"/>
      <c r="K8" s="71"/>
    </row>
    <row r="9" spans="2:23" ht="11.25" customHeight="1">
      <c r="C9" s="129" t="s">
        <v>90</v>
      </c>
      <c r="D9" s="142">
        <f>'Input | Inflation and Disc Rate'!G22</f>
        <v>5.1378153222038536E-2</v>
      </c>
      <c r="E9" s="142">
        <f>'Input | Inflation and Disc Rate'!H22</f>
        <v>5.2826086786670556E-2</v>
      </c>
      <c r="F9" s="142">
        <f>'Input | Inflation and Disc Rate'!I22</f>
        <v>4.6869247782349799E-2</v>
      </c>
      <c r="G9" s="142">
        <f>'Input | Inflation and Disc Rate'!J22</f>
        <v>2.5605357910294835E-2</v>
      </c>
      <c r="H9" s="143">
        <f>'Input | Inflation and Disc Rate'!K22</f>
        <v>6.7537932082277319E-2</v>
      </c>
      <c r="I9" s="87"/>
      <c r="J9" s="71"/>
      <c r="K9" s="71"/>
    </row>
    <row r="10" spans="2:23" ht="11.25" customHeight="1">
      <c r="C10" s="101" t="s">
        <v>13</v>
      </c>
      <c r="D10" s="144">
        <f>'Input | Reported Capex'!H$12*'Input | Inflation and Disc Rate'!G$15*(1+'Input | Inflation and Disc Rate'!G$20)^0.5</f>
        <v>94.59171131527917</v>
      </c>
      <c r="E10" s="145">
        <f>'Input | Reported Capex'!I$12*'Input | Inflation and Disc Rate'!H$15*(1+'Input | Inflation and Disc Rate'!H$20)^0.5</f>
        <v>83.318016594234379</v>
      </c>
      <c r="F10" s="145">
        <f>'Input | Reported Capex'!J$12*'Input | Inflation and Disc Rate'!I$15*(1+'Input | Inflation and Disc Rate'!I$20)^0.5</f>
        <v>88.200247044041291</v>
      </c>
      <c r="G10" s="145">
        <f>'Input | Reported Capex'!K$12*'Input | Inflation and Disc Rate'!J$15*(1+'Input | Inflation and Disc Rate'!J$20)^0.5</f>
        <v>76.771686564296317</v>
      </c>
      <c r="H10" s="146">
        <f>'Input | Reported Capex'!L$12*'Input | Inflation and Disc Rate'!K$15*(1+'Input | Inflation and Disc Rate'!K$20)^0.5</f>
        <v>77.441939529626325</v>
      </c>
      <c r="I10" s="87"/>
      <c r="J10" s="71"/>
      <c r="K10" s="71"/>
      <c r="N10" s="120"/>
    </row>
    <row r="11" spans="2:23" ht="11.25" customHeight="1">
      <c r="C11" s="101" t="s">
        <v>15</v>
      </c>
      <c r="D11" s="147">
        <f>'Input | Reported Capex'!H23*(1+D$9)^0.5</f>
        <v>96.278984170370791</v>
      </c>
      <c r="E11" s="145">
        <f>'Input | Reported Capex'!I23*(1+E$9)^0.5</f>
        <v>86.613269918098467</v>
      </c>
      <c r="F11" s="145">
        <f>'Input | Reported Capex'!J23*(1+F$9)^0.5</f>
        <v>80.952801914077341</v>
      </c>
      <c r="G11" s="145">
        <f>'Input | Reported Capex'!K23*(1+G$9)^0.5</f>
        <v>84.640099777338207</v>
      </c>
      <c r="H11" s="146">
        <f>'Input | Reported Capex'!L23*(1+H$9)^0.5</f>
        <v>71.755063031883594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-1.6872728550916207</v>
      </c>
      <c r="E12" s="127">
        <f>(E10-E11)</f>
        <v>-3.2952533238640882</v>
      </c>
      <c r="F12" s="127">
        <f t="shared" ref="F12:H12" si="0">(F10-F11)</f>
        <v>7.2474451299639497</v>
      </c>
      <c r="G12" s="127">
        <f t="shared" si="0"/>
        <v>-7.8684132130418902</v>
      </c>
      <c r="H12" s="130">
        <f t="shared" si="0"/>
        <v>5.6868764977427304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-5.2975108842719817E-2</v>
      </c>
      <c r="F13" s="127">
        <f>$D$12*$F$8*(1+'Input | Inflation and Disc Rate'!H13)</f>
        <v>-5.2453398051143615E-2</v>
      </c>
      <c r="G13" s="127">
        <f>$D$12*$G$8*(1+'Input | Inflation and Disc Rate'!H13)*(1+'Input | Inflation and Disc Rate'!I13)</f>
        <v>-5.1078057346622845E-2</v>
      </c>
      <c r="H13" s="130">
        <f>$D$12*$H$8*(1+'Input | Inflation and Disc Rate'!H13)*(1+'Input | Inflation and Disc Rate'!I13)*(1+'Input | Inflation and Disc Rate'!J13)</f>
        <v>-4.8821806655586532E-2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-0.10035668162254159</v>
      </c>
      <c r="G14" s="127">
        <f>$E$12*G$8*(1+'Input | Inflation and Disc Rate'!I13)</f>
        <v>-9.7725305308817637E-2</v>
      </c>
      <c r="H14" s="130">
        <f>$E$12*H$8*(1+'Input | Inflation and Disc Rate'!I13)*(1+'Input | Inflation and Disc Rate'!J13)</f>
        <v>-9.340852430560799E-2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0.21156300186015869</v>
      </c>
      <c r="H15" s="130">
        <f>$F$12*$H$8*(1+'Input | Inflation and Disc Rate'!J13)</f>
        <v>0.2022177136103451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-0.22031155828069565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-5.2975108842719817E-2</v>
      </c>
      <c r="F18" s="82">
        <f t="shared" ref="F18:H18" si="1">SUM(F13:F17)</f>
        <v>-0.15281007967368521</v>
      </c>
      <c r="G18" s="82">
        <f t="shared" si="1"/>
        <v>6.2759639204718221E-2</v>
      </c>
      <c r="H18" s="83">
        <f t="shared" si="1"/>
        <v>-0.16032417563154508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1.2067371312441206</v>
      </c>
      <c r="E19" s="82">
        <f>F19*(1+F$9)</f>
        <v>1.1461884791696242</v>
      </c>
      <c r="F19" s="82">
        <f>G19*(1+G$9)</f>
        <v>1.0948726229160601</v>
      </c>
      <c r="G19" s="82">
        <f>H19*(1+H$9)</f>
        <v>1.0675379320822773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5" t="s">
        <v>120</v>
      </c>
      <c r="D20" s="80">
        <f>D12*D19</f>
        <v>-2.0360948047793395</v>
      </c>
      <c r="E20" s="127">
        <f>E12*E19</f>
        <v>-3.7769813957584284</v>
      </c>
      <c r="F20" s="127">
        <f t="shared" ref="F20:H20" si="2">F12*F19</f>
        <v>7.9350292588838558</v>
      </c>
      <c r="G20" s="127">
        <f t="shared" si="2"/>
        <v>-8.3998295702196071</v>
      </c>
      <c r="H20" s="130">
        <f t="shared" si="2"/>
        <v>5.6868764977427304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6" t="s">
        <v>121</v>
      </c>
      <c r="D21" s="81">
        <f>D18*D19</f>
        <v>0</v>
      </c>
      <c r="E21" s="82">
        <f>E18*E19</f>
        <v>-6.0719459438282337E-2</v>
      </c>
      <c r="F21" s="82">
        <f t="shared" ref="F21:H21" si="3">F18*F19</f>
        <v>-0.16730757274033986</v>
      </c>
      <c r="G21" s="82">
        <f t="shared" si="3"/>
        <v>6.6998295454834711E-2</v>
      </c>
      <c r="H21" s="83">
        <f t="shared" si="3"/>
        <v>-0.16032417563154508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59" t="str">
        <f>'Input | General'!$D$18</f>
        <v>2023-24</v>
      </c>
      <c r="E24" s="159" t="str">
        <f>'Input | General'!$E$18</f>
        <v>2024–25</v>
      </c>
      <c r="F24" s="159" t="str">
        <f>'Input | General'!$F$18</f>
        <v>2025–26</v>
      </c>
      <c r="G24" s="159" t="str">
        <f>'Input | General'!$G$18</f>
        <v>2026–27</v>
      </c>
      <c r="H24" s="160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8">
        <f>'Input | Inflation and Disc Rate'!M$22</f>
        <v>5.3900000000000059E-2</v>
      </c>
      <c r="E25" s="148">
        <f>'Input | Inflation and Disc Rate'!N$22</f>
        <v>5.4400000000000004E-2</v>
      </c>
      <c r="F25" s="148">
        <f>'Input | Inflation and Disc Rate'!O$22</f>
        <v>5.479999999999996E-2</v>
      </c>
      <c r="G25" s="148">
        <f>'Input | Inflation and Disc Rate'!P$22</f>
        <v>5.5299999999999905E-2</v>
      </c>
      <c r="H25" s="149">
        <f>'Input | Inflation and Disc Rate'!Q$22</f>
        <v>5.5800000000000072E-2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0">
        <f>1/((1+D25)^(0.5)*(1+'Input | Inflation and Disc Rate'!$L$22))</f>
        <v>0.95820131547346876</v>
      </c>
      <c r="E27" s="178">
        <f>1/((1+E25)^(0.5)*(1+D25)*(1+'Input | Inflation and Disc Rate'!$L$22))</f>
        <v>0.9089800715457429</v>
      </c>
      <c r="F27" s="178">
        <f>1/((1+F25)^(0.5)*(1+E25)*(1+D25)*(1+'Input | Inflation and Disc Rate'!$L$22))</f>
        <v>0.86191929441650172</v>
      </c>
      <c r="G27" s="178">
        <f>1/((1+G25)^(0.5)*(1+F25)*(1+E25)*(1+D25)*(1+'Input | Inflation and Disc Rate'!$L$22))</f>
        <v>0.81694641828728976</v>
      </c>
      <c r="H27" s="179">
        <f>1/((1+H25)^(0.5)*(1+G25)*(1+F25)*(1+E25)*(1+D25)*(1+'Input | Inflation and Disc Rate'!$L$22))</f>
        <v>0.77395333352328421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7" t="s">
        <v>154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>SUM(D20:H20)-SUM(D28:H28)</f>
        <v>-0.59100001413078918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>(1-D32)*D31</f>
        <v>-0.41370000989155242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1">
        <f>D32*D31</f>
        <v>-0.17730000423923675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2">
        <f>SUM(D21:H21)</f>
        <v>-0.32135291235533259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6" t="s">
        <v>122</v>
      </c>
      <c r="D36" s="93">
        <f>D34-D35</f>
        <v>0.14405290811609583</v>
      </c>
      <c r="E36" s="86"/>
      <c r="F36" s="172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7" t="s">
        <v>123</v>
      </c>
      <c r="D37" s="181">
        <f>D36*(1+'Input | Inflation and Disc Rate'!L22)</f>
        <v>0.14644197087772884</v>
      </c>
      <c r="E37" s="86"/>
      <c r="F37" s="172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1" t="str">
        <f>'Input | General'!D18</f>
        <v>2023-24</v>
      </c>
      <c r="E41" s="161" t="str">
        <f>'Input | General'!E18</f>
        <v>2024–25</v>
      </c>
      <c r="F41" s="161" t="str">
        <f>'Input | General'!F18</f>
        <v>2025–26</v>
      </c>
      <c r="G41" s="161" t="str">
        <f>'Input | General'!G18</f>
        <v>2026–27</v>
      </c>
      <c r="H41" s="161" t="str">
        <f>'Input | General'!H18</f>
        <v>2027–28</v>
      </c>
    </row>
    <row r="42" spans="2:15" s="24" customFormat="1" ht="11.25" customHeight="1">
      <c r="C42" s="90" t="s">
        <v>94</v>
      </c>
      <c r="D42" s="150">
        <f>1/(1+'Input | Inflation and Disc Rate'!M21)</f>
        <v>0.98086296980980014</v>
      </c>
      <c r="E42" s="150">
        <f>D42/(1+'Input | Inflation and Disc Rate'!N21)</f>
        <v>0.9616359382273596</v>
      </c>
      <c r="F42" s="150">
        <f>E42/(1+'Input | Inflation and Disc Rate'!O21)</f>
        <v>0.94242827586135303</v>
      </c>
      <c r="G42" s="150">
        <f>F42/(1+'Input | Inflation and Disc Rate'!P21)</f>
        <v>0.92316666356394217</v>
      </c>
      <c r="H42" s="151">
        <f>G42/(1+'Input | Inflation and Disc Rate'!Q21)</f>
        <v>0.903870472624413</v>
      </c>
    </row>
    <row r="43" spans="2:15" s="24" customFormat="1" ht="11.25" customHeight="1">
      <c r="C43" s="167" t="str">
        <f>CONCATENATE("CESS Payment Per Year before CPF ($", 'Output | Models'!$F$8," million)")</f>
        <v>CESS Payment Per Year before CPF ($2022–23 million)</v>
      </c>
      <c r="D43" s="182">
        <f>D37/(SUM(D42:H42))</f>
        <v>3.1078752072347841E-2</v>
      </c>
      <c r="E43" s="183">
        <f>D43</f>
        <v>3.1078752072347841E-2</v>
      </c>
      <c r="F43" s="183">
        <f t="shared" ref="F43:H43" si="5">E43</f>
        <v>3.1078752072347841E-2</v>
      </c>
      <c r="G43" s="183">
        <f t="shared" si="5"/>
        <v>3.1078752072347841E-2</v>
      </c>
      <c r="H43" s="184">
        <f t="shared" si="5"/>
        <v>3.1078752072347841E-2</v>
      </c>
    </row>
    <row r="44" spans="2:15" s="24" customFormat="1" ht="11.25" customHeight="1">
      <c r="C44" s="166" t="s">
        <v>145</v>
      </c>
      <c r="D44" s="206">
        <f>IF($D$34&lt;=$D$35,1,'Input | Asset Performance Index'!$G$17)</f>
        <v>0.67308033816398949</v>
      </c>
      <c r="E44" s="206">
        <f>IF($D$34&lt;=$D$35,1,'Input | Asset Performance Index'!$G$17)</f>
        <v>0.67308033816398949</v>
      </c>
      <c r="F44" s="206">
        <f>IF($D$34&lt;=$D$35,1,'Input | Asset Performance Index'!$G$17)</f>
        <v>0.67308033816398949</v>
      </c>
      <c r="G44" s="206">
        <f>IF($D$34&lt;=$D$35,1,'Input | Asset Performance Index'!$G$17)</f>
        <v>0.67308033816398949</v>
      </c>
      <c r="H44" s="206">
        <f>IF($D$34&lt;=$D$35,1,'Input | Asset Performance Index'!$G$17)</f>
        <v>0.67308033816398949</v>
      </c>
    </row>
    <row r="45" spans="2:15" s="24" customFormat="1" ht="11.25" customHeight="1">
      <c r="C45" s="166" t="str">
        <f>CONCATENATE("CESS Payment Per Year after CPF ($", 'Output | Models'!$F$8," million)")</f>
        <v>CESS Payment Per Year after CPF ($2022–23 million)</v>
      </c>
      <c r="D45" s="200">
        <f>D43*D44</f>
        <v>2.0918496954570674E-2</v>
      </c>
      <c r="E45" s="200">
        <f t="shared" ref="E45:H45" si="6">E43*E44</f>
        <v>2.0918496954570674E-2</v>
      </c>
      <c r="F45" s="200">
        <f t="shared" si="6"/>
        <v>2.0918496954570674E-2</v>
      </c>
      <c r="G45" s="200">
        <f t="shared" si="6"/>
        <v>2.0918496954570674E-2</v>
      </c>
      <c r="H45" s="200">
        <f t="shared" si="6"/>
        <v>2.0918496954570674E-2</v>
      </c>
    </row>
    <row r="46" spans="2:15" s="71" customFormat="1" ht="11.25" customHeight="1"/>
    <row r="47" spans="2:15" s="24" customFormat="1" ht="11.25" customHeight="1">
      <c r="C47" s="167" t="str">
        <f>CONCATENATE("Total CESS Payment ($", 'Output | Models'!$F$8," million)")</f>
        <v>Total CESS Payment ($2022–23 million)</v>
      </c>
      <c r="D47" s="135">
        <f>SUM(D45:H45)</f>
        <v>0.10459248477285338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workbookViewId="0">
      <selection activeCell="O9" sqref="O9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Multinet Gas 2023-28 Gas AA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0" t="s">
        <v>32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50"/>
      <c r="K3" s="250"/>
      <c r="L3" s="250"/>
      <c r="M3" s="35"/>
      <c r="N3" s="250"/>
      <c r="O3" s="250"/>
      <c r="P3" s="250"/>
      <c r="Q3" s="250"/>
      <c r="R3" s="250"/>
      <c r="S3" s="250"/>
      <c r="T3" s="250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2" t="str">
        <f>'Calc | CESS Revenue Increments'!D41</f>
        <v>2023-24</v>
      </c>
      <c r="K6" s="162" t="str">
        <f>'Calc | CESS Revenue Increments'!E41</f>
        <v>2024–25</v>
      </c>
      <c r="L6" s="162" t="str">
        <f>'Calc | CESS Revenue Increments'!F41</f>
        <v>2025–26</v>
      </c>
      <c r="M6" s="162" t="str">
        <f>'Calc | CESS Revenue Increments'!G41</f>
        <v>2026–27</v>
      </c>
      <c r="N6" s="162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126</v>
      </c>
      <c r="D8" s="164" t="s">
        <v>54</v>
      </c>
      <c r="E8" s="45" t="s">
        <v>46</v>
      </c>
      <c r="F8" s="163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2.0918496954570674E-2</v>
      </c>
      <c r="K8" s="115">
        <f>'Calc | CESS Revenue Increments'!E45</f>
        <v>2.0918496954570674E-2</v>
      </c>
      <c r="L8" s="115">
        <f>'Calc | CESS Revenue Increments'!F45</f>
        <v>2.0918496954570674E-2</v>
      </c>
      <c r="M8" s="115">
        <f>'Calc | CESS Revenue Increments'!G45</f>
        <v>2.0918496954570674E-2</v>
      </c>
      <c r="N8" s="115">
        <f>'Calc | CESS Revenue Increments'!H45</f>
        <v>2.0918496954570674E-2</v>
      </c>
      <c r="O8" s="52">
        <f>SUM(J8:N8)</f>
        <v>0.10459248477285338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1876B-1752-44D1-ABCD-866808A89F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25E797-D4DA-4D4E-B7B7-EC7855D7E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DB68EA-4A33-410C-A1E1-7B4BDF02D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Mehar Vilkhu</cp:lastModifiedBy>
  <dcterms:created xsi:type="dcterms:W3CDTF">2017-09-22T02:00:05Z</dcterms:created>
  <dcterms:modified xsi:type="dcterms:W3CDTF">2023-01-24T00:06:07Z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0x010100103A451F03F4704FB5FAE1A60B1EDF9F</vt:lpwstr>
  </property>
</Properties>
</file>