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127"/>
  <workbookPr/>
  <mc:AlternateContent xmlns:mc="http://schemas.openxmlformats.org/markup-compatibility/2006">
    <mc:Choice Requires="x15">
      <x15ac:absPath xmlns:x15ac="http://schemas.microsoft.com/office/spreadsheetml/2010/11/ac" url="https://agig365.sharepoint.com/sites/VictorianAccessArrangement2023-28/Shared Documents/1 Apr AA Variation Proposals/"/>
    </mc:Choice>
  </mc:AlternateContent>
  <xr:revisionPtr revIDLastSave="0" documentId="8_{9C61FEB0-28B6-4A20-BB9F-8D142B931152}" xr6:coauthVersionLast="47" xr6:coauthVersionMax="47" xr10:uidLastSave="{00000000-0000-0000-0000-000000000000}"/>
  <bookViews>
    <workbookView xWindow="915" yWindow="375" windowWidth="21600" windowHeight="15915" tabRatio="834" xr2:uid="{00000000-000D-0000-FFFF-FFFF00000000}"/>
  </bookViews>
  <sheets>
    <sheet name="Cover" sheetId="14" r:id="rId1"/>
    <sheet name="Output| 2023HY PTRM" sheetId="9" r:id="rId2"/>
    <sheet name="Output| 2023-28 opex model" sheetId="10" r:id="rId3"/>
    <sheet name="Input|Inflation" sheetId="2" r:id="rId4"/>
    <sheet name="Input|Rate of change" sheetId="3" r:id="rId5"/>
    <sheet name="Calculation" sheetId="13" r:id="rId6"/>
  </sheets>
  <definedNames>
    <definedName name="anscount">1</definedName>
    <definedName name="Nominal_to_Real">'Input|Rate of change'!$C$25:$C$30</definedName>
    <definedName name="Real_to_Nominal">'Input|Rate of change'!$C$16:$C$21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70" i="2" l="1"/>
  <c r="F72" i="2" l="1"/>
  <c r="E9" i="13" l="1"/>
  <c r="F9" i="13"/>
  <c r="G9" i="13"/>
  <c r="D9" i="13"/>
  <c r="C9" i="13"/>
  <c r="I3" i="13" l="1"/>
  <c r="I2" i="13" l="1"/>
  <c r="J4" i="3" l="1"/>
  <c r="G67" i="2"/>
  <c r="G72" i="2"/>
  <c r="G66" i="2"/>
  <c r="G68" i="2"/>
  <c r="G65" i="2"/>
  <c r="J10" i="3" l="1"/>
  <c r="J14" i="3"/>
  <c r="J23" i="3"/>
  <c r="G70" i="2" l="1"/>
  <c r="F71" i="2"/>
  <c r="G71" i="2" s="1"/>
  <c r="F69" i="2"/>
  <c r="G69" i="2" s="1"/>
  <c r="G64" i="2" l="1"/>
  <c r="K4" i="3"/>
  <c r="T1" i="3"/>
  <c r="G63" i="2"/>
  <c r="G62" i="2"/>
  <c r="G61" i="2"/>
  <c r="G60" i="2"/>
  <c r="G59" i="2"/>
  <c r="G58" i="2"/>
  <c r="G57" i="2"/>
  <c r="G56" i="2"/>
  <c r="G55" i="2"/>
  <c r="G54" i="2"/>
  <c r="G53" i="2"/>
  <c r="G52" i="2"/>
  <c r="J12" i="3" s="1"/>
  <c r="G51" i="2"/>
  <c r="G50" i="2"/>
  <c r="G49" i="2"/>
  <c r="G48" i="2"/>
  <c r="G47" i="2"/>
  <c r="G46" i="2"/>
  <c r="G45" i="2"/>
  <c r="G44" i="2"/>
  <c r="G43" i="2"/>
  <c r="G42" i="2"/>
  <c r="G41" i="2"/>
  <c r="G40" i="2"/>
  <c r="G39" i="2"/>
  <c r="G38" i="2"/>
  <c r="G37" i="2"/>
  <c r="G36" i="2"/>
  <c r="G35" i="2"/>
  <c r="G34" i="2"/>
  <c r="G33" i="2"/>
  <c r="G32" i="2"/>
  <c r="G31" i="2"/>
  <c r="G30" i="2"/>
  <c r="G29" i="2"/>
  <c r="E29" i="2"/>
  <c r="G28" i="2"/>
  <c r="E28" i="2"/>
  <c r="G27" i="2"/>
  <c r="E27" i="2"/>
  <c r="G26" i="2"/>
  <c r="E26" i="2"/>
  <c r="G25" i="2"/>
  <c r="E25" i="2"/>
  <c r="E24" i="2"/>
  <c r="E23" i="2"/>
  <c r="E22" i="2"/>
  <c r="E21" i="2"/>
  <c r="E20" i="2"/>
  <c r="E19" i="2"/>
  <c r="E18" i="2"/>
  <c r="E17" i="2"/>
  <c r="E16" i="2"/>
  <c r="E15" i="2"/>
  <c r="E14" i="2"/>
  <c r="E13" i="2"/>
  <c r="L4" i="3" l="1"/>
  <c r="M4" i="3" s="1"/>
  <c r="K10" i="3"/>
  <c r="K12" i="3" s="1"/>
  <c r="K14" i="3"/>
  <c r="K23" i="3"/>
  <c r="T1" i="2"/>
  <c r="M23" i="3" l="1"/>
  <c r="M14" i="3"/>
  <c r="M10" i="3"/>
  <c r="M12" i="3" s="1"/>
  <c r="L23" i="3"/>
  <c r="L10" i="3"/>
  <c r="L12" i="3" s="1"/>
  <c r="L14" i="3"/>
  <c r="N4" i="3"/>
  <c r="N14" i="3" l="1"/>
  <c r="N23" i="3"/>
  <c r="N10" i="3"/>
  <c r="N12" i="3" s="1"/>
  <c r="O4" i="3"/>
  <c r="O14" i="3" l="1"/>
  <c r="O23" i="3"/>
  <c r="O10" i="3"/>
  <c r="O12" i="3" s="1"/>
  <c r="P4" i="3"/>
  <c r="C16" i="3" l="1" a="1"/>
  <c r="Q4" i="3"/>
  <c r="C25" i="3" a="1"/>
  <c r="C25" i="3" l="1"/>
  <c r="C28" i="3"/>
  <c r="C29" i="3"/>
  <c r="C27" i="3"/>
  <c r="C30" i="3"/>
  <c r="C26" i="3"/>
  <c r="C20" i="3"/>
  <c r="C17" i="3"/>
  <c r="C21" i="3"/>
  <c r="C19" i="3"/>
  <c r="C18" i="3"/>
  <c r="C16" i="3"/>
  <c r="R4" i="3"/>
  <c r="S4" i="3" l="1"/>
  <c r="D18" i="3"/>
  <c r="E18" i="3"/>
  <c r="L18" i="3"/>
  <c r="K18" i="3" s="1"/>
  <c r="J18" i="3" s="1"/>
  <c r="J27" i="3" s="1"/>
  <c r="N20" i="3"/>
  <c r="N29" i="3" s="1"/>
  <c r="D20" i="3"/>
  <c r="E20" i="3"/>
  <c r="E27" i="3"/>
  <c r="D27" i="3"/>
  <c r="E19" i="3"/>
  <c r="D19" i="3"/>
  <c r="M19" i="3"/>
  <c r="N19" i="3" s="1"/>
  <c r="N28" i="3" s="1"/>
  <c r="E29" i="3"/>
  <c r="D29" i="3"/>
  <c r="E21" i="3"/>
  <c r="O21" i="3"/>
  <c r="O30" i="3" s="1"/>
  <c r="D21" i="3"/>
  <c r="D26" i="3"/>
  <c r="E26" i="3"/>
  <c r="D28" i="3"/>
  <c r="E28" i="3"/>
  <c r="E16" i="3"/>
  <c r="J16" i="3"/>
  <c r="J25" i="3" s="1"/>
  <c r="D16" i="3"/>
  <c r="K17" i="3"/>
  <c r="K26" i="3" s="1"/>
  <c r="D17" i="3"/>
  <c r="E17" i="3"/>
  <c r="E30" i="3"/>
  <c r="D30" i="3"/>
  <c r="D25" i="3"/>
  <c r="E25" i="3"/>
  <c r="L27" i="3" l="1"/>
  <c r="O19" i="3"/>
  <c r="O28" i="3" s="1"/>
  <c r="O20" i="3"/>
  <c r="O29" i="3" s="1"/>
  <c r="N21" i="3"/>
  <c r="M20" i="3"/>
  <c r="M28" i="3"/>
  <c r="L19" i="3"/>
  <c r="K19" i="3" s="1"/>
  <c r="K28" i="3" s="1"/>
  <c r="J17" i="3"/>
  <c r="J26" i="3" s="1"/>
  <c r="M18" i="3"/>
  <c r="K27" i="3"/>
  <c r="T4" i="3"/>
  <c r="L17" i="3"/>
  <c r="K16" i="3"/>
  <c r="M27" i="3" l="1"/>
  <c r="N18" i="3"/>
  <c r="J19" i="3"/>
  <c r="J28" i="3" s="1"/>
  <c r="L28" i="3"/>
  <c r="N30" i="3"/>
  <c r="M21" i="3"/>
  <c r="L20" i="3"/>
  <c r="M29" i="3"/>
  <c r="K25" i="3"/>
  <c r="L16" i="3"/>
  <c r="M17" i="3"/>
  <c r="L26" i="3"/>
  <c r="O18" i="3" l="1"/>
  <c r="O27" i="3" s="1"/>
  <c r="N27" i="3"/>
  <c r="M26" i="3"/>
  <c r="N17" i="3"/>
  <c r="M30" i="3"/>
  <c r="L21" i="3"/>
  <c r="L29" i="3"/>
  <c r="K20" i="3"/>
  <c r="L25" i="3"/>
  <c r="M16" i="3"/>
  <c r="O17" i="3" l="1"/>
  <c r="O26" i="3" s="1"/>
  <c r="N26" i="3"/>
  <c r="M25" i="3"/>
  <c r="N16" i="3"/>
  <c r="L30" i="3"/>
  <c r="K21" i="3"/>
  <c r="J20" i="3"/>
  <c r="J29" i="3" s="1"/>
  <c r="K29" i="3"/>
  <c r="O16" i="3" l="1"/>
  <c r="N25" i="3"/>
  <c r="J21" i="3"/>
  <c r="J30" i="3" s="1"/>
  <c r="K30" i="3"/>
  <c r="J2" i="13" l="1"/>
  <c r="O25" i="3"/>
  <c r="H5" i="9" l="1"/>
  <c r="H6" i="9"/>
  <c r="H5" i="10"/>
</calcChain>
</file>

<file path=xl/sharedStrings.xml><?xml version="1.0" encoding="utf-8"?>
<sst xmlns="http://schemas.openxmlformats.org/spreadsheetml/2006/main" count="147" uniqueCount="52">
  <si>
    <t>Inputs for Post Tax Revenue Model - MultiNet</t>
  </si>
  <si>
    <t>Operating expenditure</t>
  </si>
  <si>
    <t>Source</t>
  </si>
  <si>
    <t>Unit</t>
  </si>
  <si>
    <t>Basis</t>
  </si>
  <si>
    <t>Notes</t>
  </si>
  <si>
    <t>Total forecast opex, excluding DRC and ARS</t>
  </si>
  <si>
    <t>$millions</t>
  </si>
  <si>
    <t>ARS</t>
  </si>
  <si>
    <t>Input | Opex allowances  2023 half year - MultiNet</t>
  </si>
  <si>
    <t>Cost category</t>
  </si>
  <si>
    <t>Total opex (excluding DRC)</t>
  </si>
  <si>
    <t>2023HY PTRM</t>
  </si>
  <si>
    <t>Allowances related to category specific forecasts</t>
  </si>
  <si>
    <t>Debt raising costs</t>
  </si>
  <si>
    <t>AER opex model</t>
  </si>
  <si>
    <t>Back to Index</t>
  </si>
  <si>
    <t>Key:</t>
  </si>
  <si>
    <t>Input</t>
  </si>
  <si>
    <t>External Link</t>
  </si>
  <si>
    <t>Internal Link</t>
  </si>
  <si>
    <t>Worksheet check:</t>
  </si>
  <si>
    <t>Overall Check:</t>
  </si>
  <si>
    <t>Ok</t>
  </si>
  <si>
    <t>Input | General</t>
  </si>
  <si>
    <t>Input | General inputs</t>
  </si>
  <si>
    <t>Index value, new base</t>
  </si>
  <si>
    <t>Percentage Change from Corresponding Quarter of Previous Year</t>
  </si>
  <si>
    <t>ABS</t>
  </si>
  <si>
    <t>Calculated</t>
  </si>
  <si>
    <t>index</t>
  </si>
  <si>
    <t>Percent</t>
  </si>
  <si>
    <t xml:space="preserve">Interpolated </t>
  </si>
  <si>
    <t>RBA statement of monetary policy inflation forecast, February 2022, Appendix</t>
  </si>
  <si>
    <t>https://www.rba.gov.au/publications/smp/2022/feb/forecasts.html</t>
  </si>
  <si>
    <t>End</t>
  </si>
  <si>
    <t>Input | Rate of change</t>
  </si>
  <si>
    <t>Year ending</t>
  </si>
  <si>
    <t>Input | Inflation</t>
  </si>
  <si>
    <t>Inflation</t>
  </si>
  <si>
    <t>calculated</t>
  </si>
  <si>
    <t>Per cent</t>
  </si>
  <si>
    <t>CPI indexes (real to real)</t>
  </si>
  <si>
    <t>CPI indexes (nominal to real)</t>
  </si>
  <si>
    <t>HY2023, $m real 2017</t>
  </si>
  <si>
    <t>HY2023, $m real 2022</t>
  </si>
  <si>
    <t>Forecast opex, ex category specific forecasts</t>
  </si>
  <si>
    <t>Opex model</t>
  </si>
  <si>
    <t>Rate of change</t>
  </si>
  <si>
    <t>Total opex ex. debt raising costs and ARS</t>
  </si>
  <si>
    <t>PTRM</t>
  </si>
  <si>
    <t>Total opex, PTRM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</si>
</sst>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_-* #,##0_-;\-* #,##0_-;_-* &quot;-&quot;??_-;_-@_-"/>
    <numFmt numFmtId="166" formatCode="[$-C09]mmm\-yyyy;@"/>
    <numFmt numFmtId="167" formatCode="_-* #,##0.0_-;\-* #,##0.0_-;_-* &quot;-&quot;??_-;_-@_-"/>
    <numFmt numFmtId="168" formatCode="mmm\ yyyy"/>
    <numFmt numFmtId="169" formatCode="_(#,##0.00%_);\(#,##0.00%\);_(&quot;-&quot;_)"/>
    <numFmt numFmtId="170" formatCode="_(#,##0_);\(#,##0\);_(&quot;-&quot;_)"/>
    <numFmt numFmtId="171" formatCode="_(#,##0.0000_);\(#,##0.0000\);_(&quot;-&quot;_)"/>
    <numFmt numFmtId="172" formatCode="_(#,##0.000_);\(#,##0.000\);_(&quot;-&quot;_)"/>
    <numFmt numFmtId="173" formatCode="_-* #,##0.0000_-;\-* #,##0.0000_-;_-* &quot;-&quot;??_-;_-@_-"/>
    <numFmt numFmtId="174" formatCode="0.00_ ;\-0.00\ "/>
    <numFmt numFmtId="175" formatCode="_-* #,##0.000_-;\-* #,##0.000_-;_-* &quot;-&quot;??_-;_-@_-"/>
  </numFmts>
  <fonts count="21">
    <font>
      <sz val="11"/>
      <color theme="1"/>
      <name val="Calibri"/>
      <family val="2"/>
      <scheme val="minor"/>
    </font>
    <font>
      <sz val="11"/>
      <color theme="1"/>
      <name val="Tahoma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12"/>
      <color theme="1"/>
      <name val="Arial"/>
      <family val="2"/>
    </font>
    <font>
      <u/>
      <sz val="8"/>
      <color theme="1"/>
      <name val="Arial"/>
      <family val="2"/>
    </font>
    <font>
      <sz val="8"/>
      <color indexed="8"/>
      <name val="Arial"/>
      <family val="2"/>
    </font>
    <font>
      <b/>
      <sz val="8"/>
      <color theme="1"/>
      <name val="Arial"/>
      <family val="2"/>
    </font>
    <font>
      <u/>
      <sz val="8"/>
      <color theme="10"/>
      <name val="Arial"/>
      <family val="2"/>
    </font>
    <font>
      <i/>
      <sz val="10"/>
      <color theme="1"/>
      <name val="Arial"/>
      <family val="2"/>
    </font>
    <font>
      <i/>
      <sz val="8"/>
      <color indexed="8"/>
      <name val="Arial"/>
      <family val="2"/>
    </font>
    <font>
      <b/>
      <sz val="10"/>
      <name val="Arial"/>
      <family val="2"/>
    </font>
    <font>
      <b/>
      <i/>
      <sz val="8"/>
      <color indexed="8"/>
      <name val="Arial"/>
      <family val="2"/>
    </font>
    <font>
      <b/>
      <sz val="8"/>
      <color indexed="8"/>
      <name val="Arial"/>
      <family val="2"/>
    </font>
    <font>
      <b/>
      <sz val="8"/>
      <name val="Arial"/>
      <family val="2"/>
    </font>
    <font>
      <b/>
      <i/>
      <sz val="8"/>
      <color theme="1"/>
      <name val="Arial"/>
      <family val="2"/>
    </font>
    <font>
      <b/>
      <i/>
      <sz val="8"/>
      <name val="Arial"/>
      <family val="2"/>
    </font>
    <font>
      <sz val="8"/>
      <name val="Arial"/>
      <family val="2"/>
    </font>
    <font>
      <i/>
      <u/>
      <sz val="8"/>
      <color theme="10"/>
      <name val="Arial"/>
      <family val="2"/>
    </font>
    <font>
      <i/>
      <sz val="8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DAEEF3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medium">
        <color indexed="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medium">
        <color indexed="9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 style="medium">
        <color rgb="FFFF0000"/>
      </right>
      <top/>
      <bottom style="medium">
        <color rgb="FFFF0000"/>
      </bottom>
      <diagonal/>
    </border>
  </borders>
  <cellStyleXfs count="8">
    <xf numFmtId="0" fontId="0" fillId="0" borderId="0"/>
    <xf numFmtId="9" fontId="2" fillId="0" borderId="0" applyFont="0" applyFill="0" applyBorder="0" applyAlignment="0" applyProtection="0"/>
    <xf numFmtId="0" fontId="4" fillId="0" borderId="0"/>
    <xf numFmtId="0" fontId="9" fillId="0" borderId="0" applyNumberForma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0" fontId="18" fillId="0" borderId="6">
      <alignment horizontal="right" vertical="center"/>
      <protection locked="0"/>
    </xf>
    <xf numFmtId="0" fontId="1" fillId="0" borderId="0"/>
  </cellStyleXfs>
  <cellXfs count="90">
    <xf numFmtId="0" fontId="0" fillId="0" borderId="0" xfId="0"/>
    <xf numFmtId="164" fontId="0" fillId="0" borderId="0" xfId="0" applyNumberFormat="1"/>
    <xf numFmtId="10" fontId="0" fillId="0" borderId="0" xfId="0" applyNumberFormat="1"/>
    <xf numFmtId="0" fontId="3" fillId="0" borderId="0" xfId="0" applyFont="1"/>
    <xf numFmtId="0" fontId="4" fillId="2" borderId="0" xfId="2" applyFill="1"/>
    <xf numFmtId="0" fontId="5" fillId="2" borderId="0" xfId="2" applyFont="1" applyFill="1" applyAlignment="1">
      <alignment horizontal="left" vertical="center"/>
    </xf>
    <xf numFmtId="0" fontId="5" fillId="2" borderId="0" xfId="2" applyFont="1" applyFill="1" applyAlignment="1">
      <alignment horizontal="left" indent="9"/>
    </xf>
    <xf numFmtId="0" fontId="6" fillId="2" borderId="0" xfId="2" applyFont="1" applyFill="1"/>
    <xf numFmtId="0" fontId="4" fillId="2" borderId="0" xfId="2" applyFill="1" applyAlignment="1">
      <alignment horizontal="right"/>
    </xf>
    <xf numFmtId="0" fontId="7" fillId="3" borderId="0" xfId="2" applyFont="1" applyFill="1" applyAlignment="1">
      <alignment horizontal="center"/>
    </xf>
    <xf numFmtId="0" fontId="7" fillId="4" borderId="0" xfId="2" applyFont="1" applyFill="1"/>
    <xf numFmtId="0" fontId="7" fillId="5" borderId="0" xfId="2" applyFont="1" applyFill="1"/>
    <xf numFmtId="43" fontId="8" fillId="2" borderId="0" xfId="2" applyNumberFormat="1" applyFont="1" applyFill="1" applyAlignment="1">
      <alignment horizontal="center"/>
    </xf>
    <xf numFmtId="0" fontId="9" fillId="2" borderId="0" xfId="3" applyFill="1" applyBorder="1" applyAlignment="1" applyProtection="1">
      <alignment horizontal="right"/>
    </xf>
    <xf numFmtId="0" fontId="4" fillId="2" borderId="1" xfId="2" applyFill="1" applyBorder="1"/>
    <xf numFmtId="0" fontId="10" fillId="2" borderId="1" xfId="2" applyFont="1" applyFill="1" applyBorder="1" applyAlignment="1">
      <alignment horizontal="left"/>
    </xf>
    <xf numFmtId="0" fontId="10" fillId="2" borderId="1" xfId="2" applyFont="1" applyFill="1" applyBorder="1" applyAlignment="1">
      <alignment horizontal="left" indent="9"/>
    </xf>
    <xf numFmtId="165" fontId="7" fillId="6" borderId="0" xfId="2" applyNumberFormat="1" applyFont="1" applyFill="1"/>
    <xf numFmtId="165" fontId="11" fillId="6" borderId="0" xfId="2" applyNumberFormat="1" applyFont="1" applyFill="1" applyAlignment="1">
      <alignment horizontal="center"/>
    </xf>
    <xf numFmtId="0" fontId="4" fillId="7" borderId="2" xfId="2" applyFill="1" applyBorder="1"/>
    <xf numFmtId="0" fontId="8" fillId="7" borderId="2" xfId="2" applyFont="1" applyFill="1" applyBorder="1"/>
    <xf numFmtId="0" fontId="12" fillId="7" borderId="2" xfId="2" applyFont="1" applyFill="1" applyBorder="1" applyAlignment="1">
      <alignment vertical="center"/>
    </xf>
    <xf numFmtId="0" fontId="4" fillId="7" borderId="2" xfId="2" applyFill="1" applyBorder="1" applyAlignment="1">
      <alignment wrapText="1"/>
    </xf>
    <xf numFmtId="44" fontId="12" fillId="7" borderId="2" xfId="2" applyNumberFormat="1" applyFont="1" applyFill="1" applyBorder="1" applyAlignment="1">
      <alignment horizontal="center" wrapText="1"/>
    </xf>
    <xf numFmtId="0" fontId="4" fillId="0" borderId="0" xfId="2"/>
    <xf numFmtId="165" fontId="7" fillId="0" borderId="0" xfId="2" applyNumberFormat="1" applyFont="1"/>
    <xf numFmtId="165" fontId="11" fillId="0" borderId="0" xfId="2" applyNumberFormat="1" applyFont="1" applyAlignment="1">
      <alignment horizontal="center"/>
    </xf>
    <xf numFmtId="165" fontId="13" fillId="0" borderId="0" xfId="2" applyNumberFormat="1" applyFont="1" applyAlignment="1">
      <alignment horizontal="center" wrapText="1"/>
    </xf>
    <xf numFmtId="165" fontId="14" fillId="0" borderId="0" xfId="2" applyNumberFormat="1" applyFont="1"/>
    <xf numFmtId="165" fontId="11" fillId="0" borderId="0" xfId="2" applyNumberFormat="1" applyFont="1" applyAlignment="1">
      <alignment horizontal="center" wrapText="1"/>
    </xf>
    <xf numFmtId="166" fontId="7" fillId="0" borderId="0" xfId="2" applyNumberFormat="1" applyFont="1" applyAlignment="1">
      <alignment horizontal="left"/>
    </xf>
    <xf numFmtId="164" fontId="7" fillId="8" borderId="3" xfId="2" applyNumberFormat="1" applyFont="1" applyFill="1" applyBorder="1" applyAlignment="1" applyProtection="1">
      <alignment horizontal="center"/>
      <protection locked="0"/>
    </xf>
    <xf numFmtId="43" fontId="15" fillId="0" borderId="3" xfId="2" applyNumberFormat="1" applyFont="1" applyBorder="1" applyAlignment="1">
      <alignment horizontal="center"/>
    </xf>
    <xf numFmtId="167" fontId="7" fillId="0" borderId="0" xfId="2" applyNumberFormat="1" applyFont="1"/>
    <xf numFmtId="10" fontId="7" fillId="0" borderId="0" xfId="4" applyNumberFormat="1" applyFont="1" applyAlignment="1" applyProtection="1">
      <alignment horizontal="center"/>
    </xf>
    <xf numFmtId="167" fontId="7" fillId="0" borderId="0" xfId="2" applyNumberFormat="1" applyFont="1" applyProtection="1">
      <protection locked="0"/>
    </xf>
    <xf numFmtId="167" fontId="14" fillId="0" borderId="0" xfId="2" applyNumberFormat="1" applyFont="1" applyProtection="1">
      <protection locked="0"/>
    </xf>
    <xf numFmtId="0" fontId="9" fillId="0" borderId="0" xfId="3"/>
    <xf numFmtId="43" fontId="15" fillId="0" borderId="0" xfId="2" applyNumberFormat="1" applyFont="1" applyAlignment="1">
      <alignment horizontal="center"/>
    </xf>
    <xf numFmtId="0" fontId="8" fillId="2" borderId="4" xfId="2" applyFont="1" applyFill="1" applyBorder="1"/>
    <xf numFmtId="0" fontId="16" fillId="2" borderId="4" xfId="2" applyFont="1" applyFill="1" applyBorder="1" applyAlignment="1">
      <alignment horizontal="center"/>
    </xf>
    <xf numFmtId="168" fontId="16" fillId="2" borderId="4" xfId="2" applyNumberFormat="1" applyFont="1" applyFill="1" applyBorder="1" applyAlignment="1">
      <alignment horizontal="left"/>
    </xf>
    <xf numFmtId="0" fontId="16" fillId="2" borderId="4" xfId="2" applyFont="1" applyFill="1" applyBorder="1"/>
    <xf numFmtId="0" fontId="16" fillId="7" borderId="2" xfId="2" applyFont="1" applyFill="1" applyBorder="1"/>
    <xf numFmtId="0" fontId="16" fillId="7" borderId="2" xfId="2" applyFont="1" applyFill="1" applyBorder="1" applyAlignment="1">
      <alignment horizontal="center"/>
    </xf>
    <xf numFmtId="0" fontId="17" fillId="7" borderId="2" xfId="2" applyFont="1" applyFill="1" applyBorder="1" applyAlignment="1">
      <alignment horizontal="center" vertical="center"/>
    </xf>
    <xf numFmtId="0" fontId="17" fillId="7" borderId="2" xfId="2" applyFont="1" applyFill="1" applyBorder="1" applyAlignment="1">
      <alignment vertical="center"/>
    </xf>
    <xf numFmtId="168" fontId="16" fillId="7" borderId="2" xfId="2" applyNumberFormat="1" applyFont="1" applyFill="1" applyBorder="1" applyAlignment="1">
      <alignment horizontal="center" wrapText="1"/>
    </xf>
    <xf numFmtId="0" fontId="16" fillId="7" borderId="2" xfId="2" applyFont="1" applyFill="1" applyBorder="1" applyAlignment="1">
      <alignment wrapText="1"/>
    </xf>
    <xf numFmtId="44" fontId="17" fillId="7" borderId="2" xfId="2" applyNumberFormat="1" applyFont="1" applyFill="1" applyBorder="1" applyAlignment="1">
      <alignment horizontal="center" wrapText="1"/>
    </xf>
    <xf numFmtId="0" fontId="16" fillId="0" borderId="0" xfId="2" applyFont="1"/>
    <xf numFmtId="168" fontId="14" fillId="0" borderId="5" xfId="2" applyNumberFormat="1" applyFont="1" applyBorder="1" applyAlignment="1">
      <alignment horizontal="center"/>
    </xf>
    <xf numFmtId="10" fontId="7" fillId="0" borderId="0" xfId="4" applyNumberFormat="1" applyFont="1" applyBorder="1" applyAlignment="1" applyProtection="1">
      <alignment horizontal="center"/>
    </xf>
    <xf numFmtId="165" fontId="14" fillId="0" borderId="0" xfId="2" applyNumberFormat="1" applyFont="1" applyAlignment="1">
      <alignment horizontal="center"/>
    </xf>
    <xf numFmtId="165" fontId="7" fillId="0" borderId="0" xfId="2" applyNumberFormat="1" applyFont="1" applyAlignment="1">
      <alignment horizontal="left" indent="1"/>
    </xf>
    <xf numFmtId="165" fontId="11" fillId="0" borderId="0" xfId="5" applyNumberFormat="1" applyFont="1" applyAlignment="1" applyProtection="1">
      <alignment horizontal="center"/>
    </xf>
    <xf numFmtId="169" fontId="18" fillId="0" borderId="0" xfId="4" applyNumberFormat="1" applyFont="1" applyFill="1" applyBorder="1" applyAlignment="1" applyProtection="1">
      <alignment horizontal="center" vertical="center"/>
    </xf>
    <xf numFmtId="171" fontId="18" fillId="0" borderId="0" xfId="6" applyNumberFormat="1" applyBorder="1" applyAlignment="1" applyProtection="1">
      <alignment horizontal="center" vertical="center"/>
    </xf>
    <xf numFmtId="168" fontId="7" fillId="0" borderId="0" xfId="2" applyNumberFormat="1" applyFont="1" applyAlignment="1">
      <alignment horizontal="left" indent="1"/>
    </xf>
    <xf numFmtId="172" fontId="18" fillId="0" borderId="0" xfId="6" applyNumberFormat="1" applyBorder="1" applyAlignment="1" applyProtection="1">
      <alignment horizontal="center" vertical="center"/>
    </xf>
    <xf numFmtId="173" fontId="7" fillId="0" borderId="0" xfId="2" applyNumberFormat="1" applyFont="1"/>
    <xf numFmtId="0" fontId="3" fillId="0" borderId="0" xfId="0" applyFont="1" applyAlignment="1">
      <alignment horizontal="right" wrapText="1"/>
    </xf>
    <xf numFmtId="164" fontId="0" fillId="0" borderId="7" xfId="0" applyNumberFormat="1" applyBorder="1"/>
    <xf numFmtId="0" fontId="0" fillId="7" borderId="2" xfId="0" applyFill="1" applyBorder="1"/>
    <xf numFmtId="0" fontId="8" fillId="7" borderId="2" xfId="0" applyFont="1" applyFill="1" applyBorder="1"/>
    <xf numFmtId="0" fontId="12" fillId="7" borderId="2" xfId="0" applyFont="1" applyFill="1" applyBorder="1" applyAlignment="1">
      <alignment vertical="center"/>
    </xf>
    <xf numFmtId="44" fontId="12" fillId="7" borderId="2" xfId="0" applyNumberFormat="1" applyFont="1" applyFill="1" applyBorder="1" applyAlignment="1">
      <alignment horizontal="center" wrapText="1"/>
    </xf>
    <xf numFmtId="0" fontId="0" fillId="7" borderId="2" xfId="0" applyFill="1" applyBorder="1" applyAlignment="1">
      <alignment wrapText="1"/>
    </xf>
    <xf numFmtId="165" fontId="7" fillId="0" borderId="0" xfId="0" applyNumberFormat="1" applyFont="1"/>
    <xf numFmtId="165" fontId="11" fillId="0" borderId="0" xfId="0" applyNumberFormat="1" applyFont="1" applyAlignment="1">
      <alignment horizontal="center"/>
    </xf>
    <xf numFmtId="165" fontId="7" fillId="0" borderId="0" xfId="0" applyNumberFormat="1" applyFont="1" applyAlignment="1">
      <alignment horizontal="center"/>
    </xf>
    <xf numFmtId="165" fontId="14" fillId="0" borderId="0" xfId="0" applyNumberFormat="1" applyFont="1"/>
    <xf numFmtId="165" fontId="13" fillId="0" borderId="0" xfId="0" applyNumberFormat="1" applyFont="1" applyAlignment="1">
      <alignment horizontal="center"/>
    </xf>
    <xf numFmtId="168" fontId="14" fillId="0" borderId="0" xfId="0" applyNumberFormat="1" applyFont="1" applyAlignment="1">
      <alignment horizontal="center"/>
    </xf>
    <xf numFmtId="165" fontId="14" fillId="0" borderId="5" xfId="0" applyNumberFormat="1" applyFont="1" applyBorder="1"/>
    <xf numFmtId="165" fontId="7" fillId="0" borderId="5" xfId="0" applyNumberFormat="1" applyFont="1" applyBorder="1"/>
    <xf numFmtId="165" fontId="7" fillId="0" borderId="0" xfId="0" applyNumberFormat="1" applyFont="1" applyAlignment="1">
      <alignment horizontal="left" indent="1"/>
    </xf>
    <xf numFmtId="165" fontId="19" fillId="0" borderId="0" xfId="3" applyNumberFormat="1" applyFont="1" applyAlignment="1" applyProtection="1">
      <alignment horizontal="center"/>
    </xf>
    <xf numFmtId="168" fontId="11" fillId="0" borderId="0" xfId="0" applyNumberFormat="1" applyFont="1" applyAlignment="1">
      <alignment horizontal="center"/>
    </xf>
    <xf numFmtId="174" fontId="7" fillId="0" borderId="0" xfId="4" applyNumberFormat="1" applyFont="1" applyFill="1" applyBorder="1" applyAlignment="1" applyProtection="1">
      <alignment horizontal="center"/>
    </xf>
    <xf numFmtId="165" fontId="7" fillId="0" borderId="0" xfId="0" applyNumberFormat="1" applyFont="1" applyProtection="1">
      <protection locked="0"/>
    </xf>
    <xf numFmtId="2" fontId="7" fillId="4" borderId="3" xfId="0" applyNumberFormat="1" applyFont="1" applyFill="1" applyBorder="1" applyAlignment="1">
      <alignment horizontal="center"/>
    </xf>
    <xf numFmtId="10" fontId="0" fillId="0" borderId="0" xfId="1" applyNumberFormat="1" applyFont="1"/>
    <xf numFmtId="0" fontId="0" fillId="0" borderId="8" xfId="0" applyBorder="1"/>
    <xf numFmtId="175" fontId="7" fillId="0" borderId="0" xfId="2" applyNumberFormat="1" applyFont="1"/>
    <xf numFmtId="10" fontId="7" fillId="0" borderId="0" xfId="1" applyNumberFormat="1" applyFont="1" applyProtection="1"/>
    <xf numFmtId="164" fontId="0" fillId="0" borderId="0" xfId="0" quotePrefix="1" applyNumberFormat="1"/>
    <xf numFmtId="165" fontId="20" fillId="0" borderId="0" xfId="0" applyNumberFormat="1" applyFont="1" applyAlignment="1">
      <alignment horizontal="center"/>
    </xf>
    <xf numFmtId="0" fontId="1" fillId="0" borderId="0" xfId="7"/>
    <xf numFmtId="0" fontId="16" fillId="2" borderId="4" xfId="2" applyFont="1" applyFill="1" applyBorder="1" applyAlignment="1">
      <alignment horizontal="center"/>
    </xf>
  </cellXfs>
  <cellStyles count="8">
    <cellStyle name="Assumptions Right Number" xfId="6" xr:uid="{00000000-0005-0000-0000-000000000000}"/>
    <cellStyle name="Comma 2" xfId="5" xr:uid="{00000000-0005-0000-0000-000001000000}"/>
    <cellStyle name="Hyperlink" xfId="3" builtinId="8"/>
    <cellStyle name="Normal" xfId="0" builtinId="0"/>
    <cellStyle name="Normal 2" xfId="2" xr:uid="{00000000-0005-0000-0000-000004000000}"/>
    <cellStyle name="Normal 3" xfId="7" xr:uid="{49BA0E9B-05E9-4430-9C39-B788512F6EF5}"/>
    <cellStyle name="Per cent" xfId="1" builtinId="5"/>
    <cellStyle name="Percent 2" xfId="4" xr:uid="{00000000-0005-0000-0000-000006000000}"/>
  </cellStyles>
  <dxfs count="24">
    <dxf>
      <font>
        <color theme="0"/>
      </font>
    </dxf>
    <dxf>
      <font>
        <color theme="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CCFFCC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strike val="0"/>
        <color theme="0"/>
      </font>
    </dxf>
    <dxf>
      <font>
        <strike val="0"/>
        <color rgb="FFCCFFCC"/>
      </font>
    </dxf>
    <dxf>
      <border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strike val="0"/>
        <color theme="0"/>
      </font>
    </dxf>
    <dxf>
      <font>
        <strike val="0"/>
        <color rgb="FFCCFFCC"/>
      </font>
    </dxf>
    <dxf>
      <border>
        <bottom style="thin">
          <color auto="1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28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DC68A3-7E12-4DF9-8523-F9D35759EBFA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schemeClr val="accent4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395" b="34613"/>
        <a:stretch/>
      </xdr:blipFill>
      <xdr:spPr bwMode="auto">
        <a:xfrm>
          <a:off x="0" y="0"/>
          <a:ext cx="7543800" cy="51054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285750</xdr:colOff>
      <xdr:row>13</xdr:row>
      <xdr:rowOff>38100</xdr:rowOff>
    </xdr:from>
    <xdr:to>
      <xdr:col>9</xdr:col>
      <xdr:colOff>600075</xdr:colOff>
      <xdr:row>25</xdr:row>
      <xdr:rowOff>171450</xdr:rowOff>
    </xdr:to>
    <xdr:sp macro="" textlink="">
      <xdr:nvSpPr>
        <xdr:cNvPr id="3" name="Rectangle: Diagonal Corners Snipped 2">
          <a:extLst>
            <a:ext uri="{FF2B5EF4-FFF2-40B4-BE49-F238E27FC236}">
              <a16:creationId xmlns:a16="http://schemas.microsoft.com/office/drawing/2014/main" id="{59752E5C-35AB-407B-A55A-41BB43A4583A}"/>
            </a:ext>
          </a:extLst>
        </xdr:cNvPr>
        <xdr:cNvSpPr/>
      </xdr:nvSpPr>
      <xdr:spPr>
        <a:xfrm>
          <a:off x="285750" y="2390775"/>
          <a:ext cx="6486525" cy="2305050"/>
        </a:xfrm>
        <a:prstGeom prst="snip2Diag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AU"/>
        </a:p>
      </xdr:txBody>
    </xdr:sp>
    <xdr:clientData/>
  </xdr:twoCellAnchor>
  <xdr:twoCellAnchor>
    <xdr:from>
      <xdr:col>0</xdr:col>
      <xdr:colOff>571500</xdr:colOff>
      <xdr:row>23</xdr:row>
      <xdr:rowOff>28575</xdr:rowOff>
    </xdr:from>
    <xdr:to>
      <xdr:col>4</xdr:col>
      <xdr:colOff>361950</xdr:colOff>
      <xdr:row>28</xdr:row>
      <xdr:rowOff>0</xdr:rowOff>
    </xdr:to>
    <xdr:sp macro="" textlink="">
      <xdr:nvSpPr>
        <xdr:cNvPr id="4" name="Text Box 8">
          <a:extLst>
            <a:ext uri="{FF2B5EF4-FFF2-40B4-BE49-F238E27FC236}">
              <a16:creationId xmlns:a16="http://schemas.microsoft.com/office/drawing/2014/main" id="{9D1B48F6-9BD6-43EC-8061-F8FAA4E28B82}"/>
            </a:ext>
          </a:extLst>
        </xdr:cNvPr>
        <xdr:cNvSpPr txBox="1"/>
      </xdr:nvSpPr>
      <xdr:spPr>
        <a:xfrm>
          <a:off x="571500" y="4191000"/>
          <a:ext cx="2533650" cy="876300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ts val="1300"/>
            </a:lnSpc>
            <a:spcBef>
              <a:spcPts val="600"/>
            </a:spcBef>
            <a:spcAft>
              <a:spcPts val="600"/>
            </a:spcAft>
          </a:pPr>
          <a:r>
            <a:rPr lang="en-AU" sz="1600">
              <a:solidFill>
                <a:srgbClr val="00A3E0"/>
              </a:solidFill>
              <a:effectLst/>
              <a:latin typeface="FS Albert" panose="02000000040000020004" pitchFamily="50" charset="0"/>
              <a:ea typeface="Tahoma" panose="020B0604030504040204" pitchFamily="34" charset="0"/>
              <a:cs typeface="Times New Roman" panose="02020603050405020304" pitchFamily="18" charset="0"/>
            </a:rPr>
            <a:t>April 2022</a:t>
          </a:r>
          <a:endParaRPr lang="en-AU" sz="1100">
            <a:effectLst/>
            <a:latin typeface="Tahoma" panose="020B0604030504040204" pitchFamily="34" charset="0"/>
            <a:ea typeface="Tahoma" panose="020B060403050404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581025</xdr:colOff>
      <xdr:row>22</xdr:row>
      <xdr:rowOff>76200</xdr:rowOff>
    </xdr:from>
    <xdr:to>
      <xdr:col>3</xdr:col>
      <xdr:colOff>209550</xdr:colOff>
      <xdr:row>22</xdr:row>
      <xdr:rowOff>121285</xdr:rowOff>
    </xdr:to>
    <xdr:sp macro="" textlink="">
      <xdr:nvSpPr>
        <xdr:cNvPr id="5" name="object 9">
          <a:extLst>
            <a:ext uri="{FF2B5EF4-FFF2-40B4-BE49-F238E27FC236}">
              <a16:creationId xmlns:a16="http://schemas.microsoft.com/office/drawing/2014/main" id="{AACA1717-E991-4AAD-B5FA-56CD95392066}"/>
            </a:ext>
          </a:extLst>
        </xdr:cNvPr>
        <xdr:cNvSpPr/>
      </xdr:nvSpPr>
      <xdr:spPr>
        <a:xfrm>
          <a:off x="581025" y="4057650"/>
          <a:ext cx="1685925" cy="45085"/>
        </a:xfrm>
        <a:custGeom>
          <a:avLst/>
          <a:gdLst/>
          <a:ahLst/>
          <a:cxnLst/>
          <a:rect l="l" t="t" r="r" b="b"/>
          <a:pathLst>
            <a:path w="1543050">
              <a:moveTo>
                <a:pt x="0" y="0"/>
              </a:moveTo>
              <a:lnTo>
                <a:pt x="1542605" y="0"/>
              </a:lnTo>
            </a:path>
          </a:pathLst>
        </a:custGeom>
        <a:ln w="31750">
          <a:solidFill>
            <a:schemeClr val="bg2"/>
          </a:solidFill>
        </a:ln>
      </xdr:spPr>
      <xdr:txBody>
        <a:bodyPr wrap="square" lIns="0" tIns="0" rIns="0" bIns="0" rtlCol="0"/>
        <a:lstStyle/>
        <a:p>
          <a:endParaRPr lang="en-AU"/>
        </a:p>
      </xdr:txBody>
    </xdr:sp>
    <xdr:clientData/>
  </xdr:twoCellAnchor>
  <xdr:twoCellAnchor>
    <xdr:from>
      <xdr:col>0</xdr:col>
      <xdr:colOff>533400</xdr:colOff>
      <xdr:row>13</xdr:row>
      <xdr:rowOff>38100</xdr:rowOff>
    </xdr:from>
    <xdr:to>
      <xdr:col>9</xdr:col>
      <xdr:colOff>428625</xdr:colOff>
      <xdr:row>21</xdr:row>
      <xdr:rowOff>114300</xdr:rowOff>
    </xdr:to>
    <xdr:sp macro="" textlink="">
      <xdr:nvSpPr>
        <xdr:cNvPr id="6" name="Text Box 7">
          <a:extLst>
            <a:ext uri="{FF2B5EF4-FFF2-40B4-BE49-F238E27FC236}">
              <a16:creationId xmlns:a16="http://schemas.microsoft.com/office/drawing/2014/main" id="{6DA292C8-57B8-4623-9BD6-03A886446044}"/>
            </a:ext>
          </a:extLst>
        </xdr:cNvPr>
        <xdr:cNvSpPr txBox="1"/>
      </xdr:nvSpPr>
      <xdr:spPr>
        <a:xfrm>
          <a:off x="533400" y="2390775"/>
          <a:ext cx="6067425" cy="1524000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b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ct val="90000"/>
            </a:lnSpc>
            <a:spcBef>
              <a:spcPts val="600"/>
            </a:spcBef>
            <a:spcAft>
              <a:spcPts val="600"/>
            </a:spcAft>
          </a:pPr>
          <a:r>
            <a:rPr lang="en-AU" sz="1800">
              <a:solidFill>
                <a:srgbClr val="003C71"/>
              </a:solidFill>
              <a:effectLst/>
              <a:latin typeface="Bree Serif" panose="02000503040000020004" pitchFamily="50" charset="0"/>
              <a:ea typeface="Tahoma" panose="020B0604030504040204" pitchFamily="34" charset="0"/>
              <a:cs typeface="Times New Roman" panose="02020603050405020304" pitchFamily="18" charset="0"/>
            </a:rPr>
            <a:t>Attachment 1.6</a:t>
          </a:r>
          <a:endParaRPr lang="en-AU" sz="1100">
            <a:effectLst/>
            <a:latin typeface="Tahoma" panose="020B0604030504040204" pitchFamily="34" charset="0"/>
            <a:ea typeface="Tahoma" panose="020B0604030504040204" pitchFamily="34" charset="0"/>
            <a:cs typeface="Times New Roman" panose="02020603050405020304" pitchFamily="18" charset="0"/>
          </a:endParaRPr>
        </a:p>
        <a:p>
          <a:pPr>
            <a:lnSpc>
              <a:spcPct val="90000"/>
            </a:lnSpc>
            <a:spcBef>
              <a:spcPts val="600"/>
            </a:spcBef>
            <a:spcAft>
              <a:spcPts val="600"/>
            </a:spcAft>
          </a:pPr>
          <a:r>
            <a:rPr lang="en-AU" sz="2800" b="1">
              <a:solidFill>
                <a:srgbClr val="003C71"/>
              </a:solidFill>
              <a:effectLst/>
              <a:latin typeface="Bree Serif SemiBold" panose="02000503040000020004" pitchFamily="50" charset="0"/>
              <a:ea typeface="Tahoma" panose="020B0604030504040204" pitchFamily="34" charset="0"/>
              <a:cs typeface="Times New Roman" panose="02020603050405020304" pitchFamily="18" charset="0"/>
            </a:rPr>
            <a:t>Six month opex forecast</a:t>
          </a:r>
          <a:endParaRPr lang="en-AU" sz="1100">
            <a:effectLst/>
            <a:latin typeface="Tahoma" panose="020B0604030504040204" pitchFamily="34" charset="0"/>
            <a:ea typeface="Tahoma" panose="020B0604030504040204" pitchFamily="34" charset="0"/>
            <a:cs typeface="Times New Roman" panose="02020603050405020304" pitchFamily="18" charset="0"/>
          </a:endParaRPr>
        </a:p>
        <a:p>
          <a:pPr>
            <a:lnSpc>
              <a:spcPct val="90000"/>
            </a:lnSpc>
            <a:spcBef>
              <a:spcPts val="600"/>
            </a:spcBef>
            <a:spcAft>
              <a:spcPts val="600"/>
            </a:spcAft>
          </a:pPr>
          <a:r>
            <a:rPr lang="en-AU" sz="1800">
              <a:solidFill>
                <a:srgbClr val="003C71"/>
              </a:solidFill>
              <a:effectLst/>
              <a:latin typeface="Bree Serif" panose="02000503040000020004" pitchFamily="50" charset="0"/>
              <a:ea typeface="Tahoma" panose="020B0604030504040204" pitchFamily="34" charset="0"/>
              <a:cs typeface="Times New Roman" panose="02020603050405020304" pitchFamily="18" charset="0"/>
            </a:rPr>
            <a:t>Variation Proposal 2023</a:t>
          </a:r>
          <a:endParaRPr lang="en-AU" sz="1100">
            <a:effectLst/>
            <a:latin typeface="Tahoma" panose="020B0604030504040204" pitchFamily="34" charset="0"/>
            <a:ea typeface="Tahoma" panose="020B060403050404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136525</xdr:colOff>
      <xdr:row>6</xdr:row>
      <xdr:rowOff>10795</xdr:rowOff>
    </xdr:to>
    <xdr:pic>
      <xdr:nvPicPr>
        <xdr:cNvPr id="7" name="Picture 6" descr="Text&#10;&#10;Description automatically generated">
          <a:extLst>
            <a:ext uri="{FF2B5EF4-FFF2-40B4-BE49-F238E27FC236}">
              <a16:creationId xmlns:a16="http://schemas.microsoft.com/office/drawing/2014/main" id="{F1F654F8-9C92-435D-9FD1-BDC967746E1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879725" cy="10966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AGIG">
      <a:dk1>
        <a:sysClr val="windowText" lastClr="000000"/>
      </a:dk1>
      <a:lt1>
        <a:sysClr val="window" lastClr="FFFFFF"/>
      </a:lt1>
      <a:dk2>
        <a:srgbClr val="003C71"/>
      </a:dk2>
      <a:lt2>
        <a:srgbClr val="00A3E0"/>
      </a:lt2>
      <a:accent1>
        <a:srgbClr val="E35205"/>
      </a:accent1>
      <a:accent2>
        <a:srgbClr val="F2A900"/>
      </a:accent2>
      <a:accent3>
        <a:srgbClr val="43B02A"/>
      </a:accent3>
      <a:accent4>
        <a:srgbClr val="615E9B"/>
      </a:accent4>
      <a:accent5>
        <a:srgbClr val="B4B5DF"/>
      </a:accent5>
      <a:accent6>
        <a:srgbClr val="9CDBD9"/>
      </a:accent6>
      <a:hlink>
        <a:srgbClr val="DFA0C9"/>
      </a:hlink>
      <a:folHlink>
        <a:srgbClr val="9E007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3BFFD-30AE-45D3-AE34-6C86CF091E54}">
  <dimension ref="A1:K28"/>
  <sheetViews>
    <sheetView tabSelected="1" workbookViewId="0">
      <selection activeCell="A29" sqref="A29:XFD1048576"/>
    </sheetView>
  </sheetViews>
  <sheetFormatPr defaultColWidth="0" defaultRowHeight="14.25" customHeight="1" zeroHeight="1"/>
  <cols>
    <col min="1" max="11" width="10.28515625" style="88" customWidth="1"/>
    <col min="12" max="16384" width="10.28515625" style="88" hidden="1"/>
  </cols>
  <sheetData>
    <row r="1" s="88" customFormat="1"/>
    <row r="2" s="88" customFormat="1"/>
    <row r="3" s="88" customFormat="1"/>
    <row r="4" s="88" customFormat="1"/>
    <row r="5" s="88" customFormat="1"/>
    <row r="6" s="88" customFormat="1"/>
    <row r="7" s="88" customFormat="1"/>
    <row r="8" s="88" customFormat="1"/>
    <row r="9" s="88" customFormat="1"/>
    <row r="10" s="88" customFormat="1"/>
    <row r="11" s="88" customFormat="1"/>
    <row r="12" s="88" customFormat="1"/>
    <row r="13" s="88" customFormat="1"/>
    <row r="14" s="88" customFormat="1"/>
    <row r="15" s="88" customFormat="1"/>
    <row r="16" s="88" customFormat="1"/>
    <row r="17" s="88" customFormat="1"/>
    <row r="18" s="88" customFormat="1"/>
    <row r="19" s="88" customFormat="1"/>
    <row r="20" s="88" customFormat="1"/>
    <row r="21" s="88" customFormat="1"/>
    <row r="22" s="88" customFormat="1"/>
    <row r="23" s="88" customFormat="1"/>
    <row r="24" s="88" customFormat="1"/>
    <row r="25" s="88" customFormat="1"/>
    <row r="26" s="88" customFormat="1"/>
    <row r="27" s="88" customFormat="1"/>
    <row r="28" s="88" customFormat="1"/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1"/>
  <sheetViews>
    <sheetView workbookViewId="0">
      <selection activeCell="C7" sqref="C7"/>
    </sheetView>
  </sheetViews>
  <sheetFormatPr defaultRowHeight="15"/>
  <cols>
    <col min="1" max="2" width="0.85546875" customWidth="1"/>
    <col min="3" max="3" width="39.5703125" bestFit="1" customWidth="1"/>
    <col min="4" max="4" width="15.42578125" bestFit="1" customWidth="1"/>
  </cols>
  <sheetData>
    <row r="1" spans="1:12">
      <c r="A1" s="63"/>
      <c r="B1" s="64" t="s">
        <v>0</v>
      </c>
      <c r="C1" s="63"/>
      <c r="D1" s="63"/>
      <c r="E1" s="65"/>
      <c r="F1" s="65"/>
      <c r="G1" s="65"/>
      <c r="H1" s="67"/>
      <c r="I1" s="67"/>
      <c r="J1" s="67"/>
      <c r="K1" s="66"/>
      <c r="L1" s="66"/>
    </row>
    <row r="2" spans="1:12" ht="8.4499999999999993" customHeight="1">
      <c r="A2" s="68"/>
      <c r="B2" s="68"/>
      <c r="C2" s="68"/>
      <c r="D2" s="69"/>
      <c r="E2" s="69"/>
      <c r="F2" s="69"/>
      <c r="G2" s="69"/>
      <c r="H2" s="70"/>
      <c r="I2" s="68"/>
      <c r="J2" s="68"/>
      <c r="K2" s="68"/>
      <c r="L2" s="68"/>
    </row>
    <row r="3" spans="1:12" s="68" customFormat="1" ht="12" customHeight="1">
      <c r="C3" s="71" t="s">
        <v>1</v>
      </c>
      <c r="D3" s="72" t="s">
        <v>2</v>
      </c>
      <c r="E3" s="72" t="s">
        <v>3</v>
      </c>
      <c r="F3" s="72" t="s">
        <v>4</v>
      </c>
      <c r="G3" s="69"/>
      <c r="H3" s="73">
        <v>45078</v>
      </c>
      <c r="J3" s="74" t="s">
        <v>5</v>
      </c>
      <c r="K3" s="75"/>
      <c r="L3" s="75"/>
    </row>
    <row r="4" spans="1:12" s="68" customFormat="1" ht="11.25">
      <c r="C4" s="71"/>
      <c r="D4" s="72"/>
      <c r="E4" s="72"/>
      <c r="F4" s="72"/>
      <c r="G4" s="69"/>
      <c r="H4" s="73"/>
      <c r="J4" s="71"/>
    </row>
    <row r="5" spans="1:12" s="68" customFormat="1" ht="11.25">
      <c r="C5" s="76" t="s">
        <v>6</v>
      </c>
      <c r="D5" s="77"/>
      <c r="E5" s="69" t="s">
        <v>7</v>
      </c>
      <c r="F5" s="78">
        <v>44896</v>
      </c>
      <c r="G5" s="69"/>
      <c r="H5" s="79">
        <f ca="1">Calculation!J2*Calculation!G6/(Calculation!G6+Calculation!G7)</f>
        <v>43.08036611339039</v>
      </c>
      <c r="I5" s="76"/>
      <c r="J5" s="80"/>
    </row>
    <row r="6" spans="1:12" s="68" customFormat="1" ht="11.25">
      <c r="C6" s="76" t="s">
        <v>8</v>
      </c>
      <c r="D6" s="77"/>
      <c r="E6" s="69" t="s">
        <v>7</v>
      </c>
      <c r="F6" s="78">
        <v>44896</v>
      </c>
      <c r="G6" s="69"/>
      <c r="H6" s="79">
        <f ca="1">Calculation!J2*Calculation!G7/(Calculation!G6+Calculation!G7)</f>
        <v>1.3348065813978653</v>
      </c>
      <c r="I6" s="76"/>
      <c r="J6" s="80"/>
    </row>
    <row r="7" spans="1:12" s="68" customFormat="1" ht="11.25">
      <c r="D7" s="77"/>
      <c r="E7" s="69"/>
      <c r="F7" s="69"/>
      <c r="G7" s="69"/>
    </row>
    <row r="8" spans="1:12" s="68" customFormat="1">
      <c r="A8"/>
      <c r="B8"/>
      <c r="C8"/>
      <c r="D8"/>
      <c r="E8"/>
      <c r="F8"/>
      <c r="G8"/>
      <c r="H8"/>
      <c r="I8"/>
      <c r="J8"/>
      <c r="K8"/>
      <c r="L8"/>
    </row>
    <row r="9" spans="1:12" s="68" customFormat="1">
      <c r="A9"/>
      <c r="B9"/>
      <c r="C9"/>
      <c r="D9"/>
      <c r="E9"/>
      <c r="F9"/>
      <c r="G9"/>
      <c r="H9"/>
      <c r="I9"/>
      <c r="J9"/>
      <c r="K9"/>
      <c r="L9"/>
    </row>
    <row r="10" spans="1:12" s="68" customFormat="1">
      <c r="A10"/>
      <c r="B10"/>
      <c r="C10"/>
      <c r="D10"/>
      <c r="E10"/>
      <c r="F10"/>
      <c r="G10"/>
      <c r="H10"/>
      <c r="I10"/>
      <c r="J10"/>
      <c r="K10"/>
      <c r="L10"/>
    </row>
    <row r="11" spans="1:12" s="68" customFormat="1">
      <c r="A11"/>
      <c r="B11"/>
      <c r="C11"/>
      <c r="D11"/>
      <c r="E11"/>
      <c r="F11"/>
      <c r="G11"/>
      <c r="H11"/>
      <c r="I11"/>
      <c r="J11"/>
      <c r="K11"/>
      <c r="L11"/>
    </row>
  </sheetData>
  <conditionalFormatting sqref="H3">
    <cfRule type="expression" dxfId="23" priority="64">
      <formula>#REF!=#REF!</formula>
    </cfRule>
  </conditionalFormatting>
  <conditionalFormatting sqref="H5:H6">
    <cfRule type="expression" dxfId="22" priority="153">
      <formula>AND($C5=0,#REF!=#REF!)</formula>
    </cfRule>
    <cfRule type="expression" dxfId="21" priority="154">
      <formula>NOT(#REF!=#REF!)</formula>
    </cfRule>
    <cfRule type="expression" dxfId="20" priority="155">
      <formula>#REF!=#REF!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34"/>
  <sheetViews>
    <sheetView workbookViewId="0">
      <selection activeCell="L17" sqref="L17"/>
    </sheetView>
  </sheetViews>
  <sheetFormatPr defaultRowHeight="15"/>
  <cols>
    <col min="1" max="2" width="0.85546875" customWidth="1"/>
    <col min="3" max="3" width="39.5703125" bestFit="1" customWidth="1"/>
    <col min="4" max="4" width="15.42578125" bestFit="1" customWidth="1"/>
  </cols>
  <sheetData>
    <row r="1" spans="1:12">
      <c r="A1" s="63"/>
      <c r="B1" s="64" t="s">
        <v>9</v>
      </c>
      <c r="C1" s="63"/>
      <c r="D1" s="63"/>
      <c r="E1" s="65"/>
      <c r="F1" s="65"/>
      <c r="G1" s="65"/>
      <c r="H1" s="67"/>
      <c r="I1" s="67"/>
      <c r="J1" s="67"/>
      <c r="K1" s="66"/>
      <c r="L1" s="66"/>
    </row>
    <row r="2" spans="1:12">
      <c r="A2" s="68"/>
      <c r="B2" s="68"/>
      <c r="C2" s="68"/>
      <c r="D2" s="69"/>
      <c r="E2" s="69"/>
      <c r="F2" s="69"/>
      <c r="G2" s="69"/>
      <c r="H2" s="70"/>
      <c r="I2" s="68"/>
      <c r="J2" s="68"/>
      <c r="K2" s="68"/>
      <c r="L2" s="68"/>
    </row>
    <row r="3" spans="1:12" s="68" customFormat="1" ht="9.9499999999999993" customHeight="1">
      <c r="C3" s="71" t="s">
        <v>10</v>
      </c>
      <c r="D3" s="72" t="s">
        <v>2</v>
      </c>
      <c r="E3" s="72" t="s">
        <v>3</v>
      </c>
      <c r="F3" s="72" t="s">
        <v>4</v>
      </c>
      <c r="G3" s="69"/>
      <c r="H3" s="73">
        <v>45078</v>
      </c>
      <c r="J3" s="74" t="s">
        <v>5</v>
      </c>
      <c r="K3" s="75"/>
      <c r="L3" s="75"/>
    </row>
    <row r="4" spans="1:12" s="68" customFormat="1" ht="11.25">
      <c r="C4" s="71"/>
      <c r="D4" s="72"/>
      <c r="E4" s="72"/>
      <c r="F4" s="72"/>
      <c r="G4" s="69"/>
      <c r="H4" s="73"/>
      <c r="J4" s="71"/>
    </row>
    <row r="5" spans="1:12" s="68" customFormat="1" ht="11.25">
      <c r="C5" s="76" t="s">
        <v>11</v>
      </c>
      <c r="D5" s="69" t="s">
        <v>12</v>
      </c>
      <c r="E5" s="69" t="s">
        <v>7</v>
      </c>
      <c r="F5" s="78">
        <v>44896</v>
      </c>
      <c r="G5" s="69"/>
      <c r="H5" s="79">
        <f ca="1">Calculation!J2</f>
        <v>44.415172694788261</v>
      </c>
      <c r="I5" s="76"/>
      <c r="J5" s="80"/>
    </row>
    <row r="6" spans="1:12" s="68" customFormat="1" ht="11.25">
      <c r="C6" s="76"/>
      <c r="D6" s="69"/>
      <c r="E6" s="69"/>
      <c r="F6" s="78"/>
      <c r="G6" s="69"/>
      <c r="H6" s="70"/>
      <c r="I6" s="76"/>
      <c r="J6" s="80"/>
    </row>
    <row r="7" spans="1:12" s="68" customFormat="1" ht="11.25">
      <c r="C7" s="71" t="s">
        <v>13</v>
      </c>
      <c r="D7" s="69"/>
      <c r="E7" s="69"/>
      <c r="F7" s="78"/>
      <c r="G7" s="69"/>
      <c r="H7" s="70"/>
      <c r="I7" s="76"/>
      <c r="J7" s="80"/>
    </row>
    <row r="8" spans="1:12" s="68" customFormat="1" ht="11.25">
      <c r="C8" s="71"/>
      <c r="D8" s="69"/>
      <c r="E8" s="69"/>
      <c r="F8" s="78"/>
      <c r="G8" s="69"/>
      <c r="H8" s="70"/>
      <c r="I8" s="76"/>
      <c r="J8" s="80"/>
    </row>
    <row r="9" spans="1:12" s="68" customFormat="1" ht="11.25">
      <c r="C9" s="76" t="s">
        <v>14</v>
      </c>
      <c r="D9" s="87" t="s">
        <v>12</v>
      </c>
      <c r="E9" s="69" t="s">
        <v>7</v>
      </c>
      <c r="F9" s="78">
        <v>44896</v>
      </c>
      <c r="G9" s="69"/>
      <c r="H9" s="81"/>
      <c r="I9" s="76"/>
      <c r="J9" s="80"/>
    </row>
    <row r="10" spans="1:12" s="68" customFormat="1" ht="11.25">
      <c r="D10" s="77"/>
      <c r="E10" s="69"/>
      <c r="F10" s="69"/>
      <c r="G10" s="69"/>
    </row>
    <row r="11" spans="1:12" s="68" customFormat="1">
      <c r="A11"/>
      <c r="B11"/>
      <c r="C11"/>
      <c r="D11"/>
      <c r="E11"/>
      <c r="F11"/>
      <c r="G11"/>
      <c r="H11"/>
      <c r="I11"/>
      <c r="J11"/>
      <c r="K11"/>
      <c r="L11"/>
    </row>
    <row r="12" spans="1:12" s="68" customFormat="1">
      <c r="A12"/>
      <c r="B12"/>
      <c r="C12"/>
      <c r="D12"/>
      <c r="E12"/>
      <c r="F12"/>
      <c r="G12"/>
      <c r="H12"/>
      <c r="I12"/>
      <c r="J12"/>
      <c r="K12"/>
      <c r="L12"/>
    </row>
    <row r="14" spans="1:12" s="68" customFormat="1" ht="4.5" customHeight="1">
      <c r="A14"/>
      <c r="B14"/>
      <c r="C14"/>
      <c r="D14"/>
      <c r="E14"/>
      <c r="F14"/>
      <c r="G14"/>
      <c r="H14"/>
      <c r="I14"/>
      <c r="J14"/>
      <c r="K14"/>
      <c r="L14"/>
    </row>
    <row r="15" spans="1:12" s="68" customFormat="1">
      <c r="A15"/>
      <c r="B15"/>
      <c r="C15"/>
      <c r="D15"/>
      <c r="E15"/>
      <c r="F15"/>
      <c r="G15"/>
      <c r="H15"/>
      <c r="I15"/>
      <c r="J15"/>
      <c r="K15"/>
      <c r="L15"/>
    </row>
    <row r="16" spans="1:12" s="68" customFormat="1">
      <c r="A16"/>
      <c r="B16"/>
      <c r="C16"/>
      <c r="D16"/>
      <c r="E16"/>
      <c r="F16"/>
      <c r="G16"/>
      <c r="H16"/>
      <c r="I16"/>
      <c r="J16"/>
      <c r="K16"/>
      <c r="L16"/>
    </row>
    <row r="17" spans="1:12" s="68" customFormat="1">
      <c r="A17"/>
      <c r="B17"/>
      <c r="C17"/>
      <c r="D17"/>
      <c r="E17"/>
      <c r="F17"/>
      <c r="G17"/>
      <c r="H17"/>
      <c r="I17"/>
      <c r="J17"/>
      <c r="K17"/>
      <c r="L17"/>
    </row>
    <row r="18" spans="1:12" s="68" customFormat="1">
      <c r="A18"/>
      <c r="B18"/>
      <c r="C18"/>
      <c r="D18"/>
      <c r="E18"/>
      <c r="F18"/>
      <c r="G18"/>
      <c r="H18"/>
      <c r="I18"/>
      <c r="J18"/>
      <c r="K18"/>
      <c r="L18"/>
    </row>
    <row r="19" spans="1:12" s="68" customFormat="1">
      <c r="A19"/>
      <c r="B19"/>
      <c r="C19"/>
      <c r="D19"/>
      <c r="E19"/>
      <c r="F19"/>
      <c r="G19"/>
      <c r="H19"/>
      <c r="I19"/>
      <c r="J19"/>
      <c r="K19"/>
      <c r="L19"/>
    </row>
    <row r="20" spans="1:12" s="68" customFormat="1">
      <c r="A20"/>
      <c r="B20"/>
      <c r="C20"/>
      <c r="D20"/>
      <c r="E20"/>
      <c r="F20"/>
      <c r="G20"/>
      <c r="H20"/>
      <c r="I20"/>
      <c r="J20"/>
      <c r="K20"/>
      <c r="L20"/>
    </row>
    <row r="21" spans="1:12" s="68" customFormat="1">
      <c r="A21"/>
      <c r="B21"/>
      <c r="C21"/>
      <c r="D21"/>
      <c r="E21"/>
      <c r="F21"/>
      <c r="G21"/>
      <c r="H21"/>
      <c r="I21"/>
      <c r="J21"/>
      <c r="K21"/>
      <c r="L21"/>
    </row>
    <row r="22" spans="1:12" s="68" customFormat="1">
      <c r="A22"/>
      <c r="B22"/>
      <c r="C22"/>
      <c r="D22"/>
      <c r="E22"/>
      <c r="F22"/>
      <c r="G22"/>
      <c r="H22"/>
      <c r="I22"/>
      <c r="J22"/>
      <c r="K22"/>
      <c r="L22"/>
    </row>
    <row r="23" spans="1:12" s="68" customFormat="1">
      <c r="A23"/>
      <c r="B23"/>
      <c r="C23"/>
      <c r="D23"/>
      <c r="E23"/>
      <c r="F23"/>
      <c r="G23"/>
      <c r="H23"/>
      <c r="I23"/>
      <c r="J23"/>
      <c r="K23"/>
      <c r="L23"/>
    </row>
    <row r="25" spans="1:12" s="68" customFormat="1" ht="4.5" customHeight="1">
      <c r="A25"/>
      <c r="B25"/>
      <c r="C25"/>
      <c r="D25"/>
      <c r="E25"/>
      <c r="F25"/>
      <c r="G25"/>
      <c r="H25"/>
      <c r="I25"/>
      <c r="J25"/>
      <c r="K25"/>
      <c r="L25"/>
    </row>
    <row r="26" spans="1:12" s="68" customFormat="1">
      <c r="A26"/>
      <c r="B26"/>
      <c r="C26"/>
      <c r="D26"/>
      <c r="E26"/>
      <c r="F26"/>
      <c r="G26"/>
      <c r="H26"/>
      <c r="I26"/>
      <c r="J26"/>
      <c r="K26"/>
      <c r="L26"/>
    </row>
    <row r="27" spans="1:12" s="68" customFormat="1">
      <c r="A27"/>
      <c r="B27"/>
      <c r="C27"/>
      <c r="D27"/>
      <c r="E27"/>
      <c r="F27"/>
      <c r="G27"/>
      <c r="H27"/>
      <c r="I27"/>
      <c r="J27"/>
      <c r="K27"/>
      <c r="L27"/>
    </row>
    <row r="28" spans="1:12" s="68" customFormat="1">
      <c r="A28"/>
      <c r="B28"/>
      <c r="C28"/>
      <c r="D28"/>
      <c r="E28"/>
      <c r="F28"/>
      <c r="G28"/>
      <c r="H28"/>
      <c r="I28"/>
      <c r="J28"/>
      <c r="K28"/>
      <c r="L28"/>
    </row>
    <row r="29" spans="1:12" s="68" customFormat="1">
      <c r="A29"/>
      <c r="B29"/>
      <c r="C29"/>
      <c r="D29"/>
      <c r="E29"/>
      <c r="F29"/>
      <c r="G29"/>
      <c r="H29"/>
      <c r="I29"/>
      <c r="J29"/>
      <c r="K29"/>
      <c r="L29"/>
    </row>
    <row r="30" spans="1:12" s="68" customFormat="1">
      <c r="A30"/>
      <c r="B30"/>
      <c r="C30"/>
      <c r="D30"/>
      <c r="E30"/>
      <c r="F30"/>
      <c r="G30"/>
      <c r="H30"/>
      <c r="I30"/>
      <c r="J30"/>
      <c r="K30"/>
      <c r="L30"/>
    </row>
    <row r="31" spans="1:12" s="68" customFormat="1">
      <c r="A31"/>
      <c r="B31"/>
      <c r="C31"/>
      <c r="D31"/>
      <c r="E31"/>
      <c r="F31"/>
      <c r="G31"/>
      <c r="H31"/>
      <c r="I31"/>
      <c r="J31"/>
      <c r="K31"/>
      <c r="L31"/>
    </row>
    <row r="32" spans="1:12" s="68" customFormat="1">
      <c r="A32"/>
      <c r="B32"/>
      <c r="C32"/>
      <c r="D32"/>
      <c r="E32"/>
      <c r="F32"/>
      <c r="G32"/>
      <c r="H32"/>
      <c r="I32"/>
      <c r="J32"/>
      <c r="K32"/>
      <c r="L32"/>
    </row>
    <row r="33" spans="1:12" s="68" customFormat="1">
      <c r="A33"/>
      <c r="B33"/>
      <c r="C33"/>
      <c r="D33"/>
      <c r="E33"/>
      <c r="F33"/>
      <c r="G33"/>
      <c r="H33"/>
      <c r="I33"/>
      <c r="J33"/>
      <c r="K33"/>
      <c r="L33"/>
    </row>
    <row r="34" spans="1:12" s="68" customFormat="1">
      <c r="A34"/>
      <c r="B34"/>
      <c r="C34"/>
      <c r="D34"/>
      <c r="E34"/>
      <c r="F34"/>
      <c r="G34"/>
      <c r="H34"/>
      <c r="I34"/>
      <c r="J34"/>
      <c r="K34"/>
      <c r="L34"/>
    </row>
  </sheetData>
  <conditionalFormatting sqref="H3">
    <cfRule type="expression" dxfId="19" priority="152">
      <formula>#REF!=#REF!</formula>
    </cfRule>
  </conditionalFormatting>
  <conditionalFormatting sqref="H5">
    <cfRule type="expression" dxfId="18" priority="156">
      <formula>AND($C5=0,#REF!=#REF!)</formula>
    </cfRule>
    <cfRule type="expression" dxfId="17" priority="157">
      <formula>NOT(#REF!=#REF!)</formula>
    </cfRule>
    <cfRule type="expression" dxfId="16" priority="158">
      <formula>#REF!=#REF!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">
    <tabColor rgb="FFFFFF99"/>
  </sheetPr>
  <dimension ref="A1:AV84"/>
  <sheetViews>
    <sheetView showGridLines="0" workbookViewId="0">
      <selection activeCell="G52" sqref="G52"/>
    </sheetView>
  </sheetViews>
  <sheetFormatPr defaultColWidth="0" defaultRowHeight="11.25" customHeight="1" zeroHeight="1"/>
  <cols>
    <col min="1" max="2" width="1.140625" style="25" customWidth="1"/>
    <col min="3" max="3" width="9.5703125" style="25" bestFit="1" customWidth="1"/>
    <col min="4" max="4" width="17.5703125" style="26" bestFit="1" customWidth="1"/>
    <col min="5" max="5" width="17.5703125" style="26" customWidth="1"/>
    <col min="6" max="9" width="12.28515625" style="26" customWidth="1"/>
    <col min="10" max="10" width="2.7109375" style="26" customWidth="1"/>
    <col min="11" max="24" width="8.85546875" style="25" customWidth="1"/>
    <col min="25" max="48" width="8.5703125" style="25" customWidth="1"/>
    <col min="49" max="16384" width="8.5703125" style="25" hidden="1"/>
  </cols>
  <sheetData>
    <row r="1" spans="1:24" s="4" customFormat="1" ht="15.75">
      <c r="B1" s="5" t="s">
        <v>15</v>
      </c>
      <c r="C1" s="5"/>
      <c r="D1" s="5"/>
      <c r="E1" s="5"/>
      <c r="F1" s="5"/>
      <c r="G1" s="6"/>
      <c r="H1" s="6"/>
      <c r="I1" s="6"/>
      <c r="J1" s="6"/>
      <c r="K1" s="7" t="s">
        <v>16</v>
      </c>
      <c r="M1" s="8" t="s">
        <v>17</v>
      </c>
      <c r="N1" s="9" t="s">
        <v>18</v>
      </c>
      <c r="O1" s="10" t="s">
        <v>19</v>
      </c>
      <c r="P1" s="11" t="s">
        <v>20</v>
      </c>
      <c r="S1" s="8" t="s">
        <v>21</v>
      </c>
      <c r="T1" s="12" t="str">
        <f>IF(COUNTA($T$5:$T$73)=COUNTIF($T5:$T74,"OK"),"OK","Check")</f>
        <v>OK</v>
      </c>
      <c r="V1" s="13" t="s">
        <v>22</v>
      </c>
      <c r="W1" s="12" t="s">
        <v>23</v>
      </c>
    </row>
    <row r="2" spans="1:24" s="14" customFormat="1" ht="13.5" thickBot="1">
      <c r="B2" s="15" t="s">
        <v>24</v>
      </c>
      <c r="C2" s="15"/>
      <c r="D2" s="15"/>
      <c r="E2" s="15"/>
      <c r="F2" s="15"/>
      <c r="G2" s="16"/>
      <c r="H2" s="16"/>
      <c r="I2" s="16"/>
      <c r="J2" s="16"/>
    </row>
    <row r="3" spans="1:24" s="17" customFormat="1" ht="3" customHeight="1">
      <c r="D3" s="18"/>
      <c r="E3" s="18"/>
      <c r="F3" s="18"/>
      <c r="G3" s="18"/>
      <c r="H3" s="18"/>
      <c r="I3" s="18"/>
      <c r="J3" s="18"/>
    </row>
    <row r="4" spans="1:24" s="24" customFormat="1" ht="12.75">
      <c r="A4" s="19"/>
      <c r="B4" s="20" t="s">
        <v>25</v>
      </c>
      <c r="C4" s="19"/>
      <c r="D4" s="19"/>
      <c r="E4" s="19"/>
      <c r="F4" s="19"/>
      <c r="G4" s="21"/>
      <c r="H4" s="21"/>
      <c r="I4" s="21"/>
      <c r="J4" s="21"/>
      <c r="K4" s="22"/>
      <c r="L4" s="23"/>
      <c r="M4" s="22"/>
      <c r="N4" s="23"/>
      <c r="O4" s="22"/>
      <c r="P4" s="22"/>
      <c r="Q4" s="22"/>
      <c r="R4" s="22"/>
      <c r="S4" s="22"/>
      <c r="T4" s="22"/>
      <c r="U4" s="22"/>
      <c r="V4" s="22"/>
      <c r="W4" s="23"/>
      <c r="X4" s="23"/>
    </row>
    <row r="5" spans="1:24" ht="11.25" customHeight="1"/>
    <row r="6" spans="1:24" ht="53.25">
      <c r="D6" s="27" t="s">
        <v>26</v>
      </c>
      <c r="E6" s="27" t="s">
        <v>27</v>
      </c>
      <c r="F6" s="27" t="s">
        <v>26</v>
      </c>
      <c r="G6" s="27" t="s">
        <v>27</v>
      </c>
      <c r="H6" s="27"/>
      <c r="I6" s="25"/>
      <c r="J6" s="25"/>
    </row>
    <row r="7" spans="1:24">
      <c r="C7" s="28" t="s">
        <v>2</v>
      </c>
      <c r="D7" s="29" t="s">
        <v>28</v>
      </c>
      <c r="E7" s="29" t="s">
        <v>29</v>
      </c>
      <c r="F7" s="29" t="s">
        <v>28</v>
      </c>
      <c r="G7" s="29" t="s">
        <v>29</v>
      </c>
      <c r="H7" s="29"/>
      <c r="I7" s="25"/>
      <c r="J7" s="25"/>
    </row>
    <row r="8" spans="1:24">
      <c r="C8" s="28" t="s">
        <v>3</v>
      </c>
      <c r="D8" s="29" t="s">
        <v>30</v>
      </c>
      <c r="E8" s="29" t="s">
        <v>31</v>
      </c>
      <c r="F8" s="29" t="s">
        <v>30</v>
      </c>
      <c r="G8" s="29" t="s">
        <v>31</v>
      </c>
      <c r="H8" s="29"/>
      <c r="I8" s="25"/>
      <c r="J8" s="25"/>
    </row>
    <row r="9" spans="1:24">
      <c r="C9" s="30">
        <v>39172</v>
      </c>
      <c r="D9" s="31">
        <v>155.6</v>
      </c>
      <c r="E9" s="25"/>
      <c r="F9" s="25"/>
      <c r="G9" s="25"/>
      <c r="H9" s="25"/>
      <c r="I9" s="25"/>
      <c r="J9" s="25"/>
      <c r="T9" s="32" t="s">
        <v>23</v>
      </c>
    </row>
    <row r="10" spans="1:24">
      <c r="C10" s="30">
        <v>39263</v>
      </c>
      <c r="D10" s="31">
        <v>157.5</v>
      </c>
      <c r="E10" s="25"/>
      <c r="F10" s="25"/>
      <c r="G10" s="25"/>
      <c r="H10" s="25"/>
      <c r="I10" s="25"/>
      <c r="J10" s="25"/>
      <c r="T10" s="32" t="s">
        <v>23</v>
      </c>
    </row>
    <row r="11" spans="1:24">
      <c r="C11" s="30">
        <v>39355</v>
      </c>
      <c r="D11" s="31">
        <v>158.6</v>
      </c>
      <c r="E11" s="25"/>
      <c r="F11" s="25"/>
      <c r="G11" s="25"/>
      <c r="H11" s="25"/>
      <c r="I11" s="25"/>
      <c r="J11" s="25"/>
      <c r="T11" s="32" t="s">
        <v>23</v>
      </c>
    </row>
    <row r="12" spans="1:24">
      <c r="C12" s="30">
        <v>39447</v>
      </c>
      <c r="D12" s="31">
        <v>160.1</v>
      </c>
      <c r="E12" s="25"/>
      <c r="F12" s="25"/>
      <c r="G12" s="33"/>
      <c r="H12" s="25"/>
      <c r="I12" s="25"/>
      <c r="J12" s="25"/>
      <c r="T12" s="32" t="s">
        <v>23</v>
      </c>
    </row>
    <row r="13" spans="1:24">
      <c r="C13" s="30">
        <v>39538</v>
      </c>
      <c r="D13" s="31">
        <v>162.19999999999999</v>
      </c>
      <c r="E13" s="34">
        <f>D13/D9-1</f>
        <v>4.2416452442159303E-2</v>
      </c>
      <c r="F13" s="25"/>
      <c r="G13" s="33"/>
      <c r="H13" s="25"/>
      <c r="I13" s="25"/>
      <c r="J13" s="25"/>
      <c r="T13" s="32" t="s">
        <v>23</v>
      </c>
    </row>
    <row r="14" spans="1:24">
      <c r="C14" s="30">
        <v>39629</v>
      </c>
      <c r="D14" s="31">
        <v>164.6</v>
      </c>
      <c r="E14" s="34">
        <f t="shared" ref="E14:E29" si="0">D14/D10-1</f>
        <v>4.5079365079365052E-2</v>
      </c>
      <c r="F14" s="25"/>
      <c r="G14" s="33"/>
      <c r="H14" s="25"/>
      <c r="I14" s="25"/>
      <c r="J14" s="25"/>
      <c r="T14" s="32" t="s">
        <v>23</v>
      </c>
    </row>
    <row r="15" spans="1:24">
      <c r="C15" s="30">
        <v>39721</v>
      </c>
      <c r="D15" s="31">
        <v>166.5</v>
      </c>
      <c r="E15" s="34">
        <f t="shared" si="0"/>
        <v>4.9810844892812067E-2</v>
      </c>
      <c r="F15" s="25"/>
      <c r="G15" s="33"/>
      <c r="H15" s="25"/>
      <c r="I15" s="25"/>
      <c r="J15" s="25"/>
      <c r="T15" s="32" t="s">
        <v>23</v>
      </c>
    </row>
    <row r="16" spans="1:24">
      <c r="C16" s="30">
        <v>39813</v>
      </c>
      <c r="D16" s="31">
        <v>166</v>
      </c>
      <c r="E16" s="34">
        <f t="shared" si="0"/>
        <v>3.6851967520299844E-2</v>
      </c>
      <c r="F16" s="25"/>
      <c r="G16" s="33"/>
      <c r="H16" s="25"/>
      <c r="I16" s="25"/>
      <c r="J16" s="25"/>
      <c r="T16" s="32" t="s">
        <v>23</v>
      </c>
    </row>
    <row r="17" spans="3:20">
      <c r="C17" s="30">
        <v>39903</v>
      </c>
      <c r="D17" s="31">
        <v>166.2</v>
      </c>
      <c r="E17" s="34">
        <f t="shared" si="0"/>
        <v>2.4660912453760897E-2</v>
      </c>
      <c r="F17" s="25"/>
      <c r="G17" s="33"/>
      <c r="H17" s="25"/>
      <c r="I17" s="25"/>
      <c r="J17" s="25"/>
      <c r="T17" s="32" t="s">
        <v>23</v>
      </c>
    </row>
    <row r="18" spans="3:20">
      <c r="C18" s="30">
        <v>39994</v>
      </c>
      <c r="D18" s="31">
        <v>167</v>
      </c>
      <c r="E18" s="34">
        <f t="shared" si="0"/>
        <v>1.4580801944106936E-2</v>
      </c>
      <c r="F18" s="25"/>
      <c r="G18" s="33"/>
      <c r="H18" s="25"/>
      <c r="I18" s="25"/>
      <c r="J18" s="25"/>
      <c r="T18" s="32" t="s">
        <v>23</v>
      </c>
    </row>
    <row r="19" spans="3:20">
      <c r="C19" s="30">
        <v>40086</v>
      </c>
      <c r="D19" s="31">
        <v>168.6</v>
      </c>
      <c r="E19" s="34">
        <f t="shared" si="0"/>
        <v>1.2612612612612484E-2</v>
      </c>
      <c r="F19" s="25"/>
      <c r="G19" s="33"/>
      <c r="H19" s="25"/>
      <c r="I19" s="25"/>
      <c r="J19" s="25"/>
      <c r="T19" s="32" t="s">
        <v>23</v>
      </c>
    </row>
    <row r="20" spans="3:20">
      <c r="C20" s="30">
        <v>40178</v>
      </c>
      <c r="D20" s="31">
        <v>169.5</v>
      </c>
      <c r="E20" s="34">
        <f t="shared" si="0"/>
        <v>2.108433734939763E-2</v>
      </c>
      <c r="F20" s="25"/>
      <c r="G20" s="33"/>
      <c r="H20" s="25"/>
      <c r="I20" s="25"/>
      <c r="J20" s="25"/>
      <c r="T20" s="32" t="s">
        <v>23</v>
      </c>
    </row>
    <row r="21" spans="3:20">
      <c r="C21" s="30">
        <v>40268</v>
      </c>
      <c r="D21" s="31">
        <v>171</v>
      </c>
      <c r="E21" s="34">
        <f t="shared" si="0"/>
        <v>2.8880866425992746E-2</v>
      </c>
      <c r="F21" s="31">
        <v>95.2</v>
      </c>
      <c r="G21" s="33"/>
      <c r="H21" s="35"/>
      <c r="I21" s="25"/>
      <c r="J21" s="25"/>
      <c r="T21" s="32" t="s">
        <v>23</v>
      </c>
    </row>
    <row r="22" spans="3:20">
      <c r="C22" s="30">
        <v>40359</v>
      </c>
      <c r="D22" s="31">
        <v>172.1</v>
      </c>
      <c r="E22" s="34">
        <f t="shared" si="0"/>
        <v>3.0538922155688653E-2</v>
      </c>
      <c r="F22" s="31">
        <v>95.8</v>
      </c>
      <c r="G22" s="33"/>
      <c r="H22" s="35"/>
      <c r="I22" s="25"/>
      <c r="J22" s="25"/>
      <c r="T22" s="32" t="s">
        <v>23</v>
      </c>
    </row>
    <row r="23" spans="3:20">
      <c r="C23" s="30">
        <v>40451</v>
      </c>
      <c r="D23" s="31">
        <v>173.3</v>
      </c>
      <c r="E23" s="34">
        <f t="shared" si="0"/>
        <v>2.7876631079478242E-2</v>
      </c>
      <c r="F23" s="31">
        <v>96.5</v>
      </c>
      <c r="G23" s="33"/>
      <c r="H23" s="35"/>
      <c r="I23" s="25"/>
      <c r="J23" s="25"/>
      <c r="T23" s="32" t="s">
        <v>23</v>
      </c>
    </row>
    <row r="24" spans="3:20">
      <c r="C24" s="30">
        <v>40543</v>
      </c>
      <c r="D24" s="31">
        <v>174</v>
      </c>
      <c r="E24" s="34">
        <f t="shared" si="0"/>
        <v>2.6548672566371723E-2</v>
      </c>
      <c r="F24" s="31">
        <v>96.9</v>
      </c>
      <c r="G24" s="33"/>
      <c r="H24" s="35"/>
      <c r="I24" s="25"/>
      <c r="J24" s="25"/>
      <c r="T24" s="32" t="s">
        <v>23</v>
      </c>
    </row>
    <row r="25" spans="3:20">
      <c r="C25" s="30">
        <v>40633</v>
      </c>
      <c r="D25" s="31">
        <v>176.7</v>
      </c>
      <c r="E25" s="34">
        <f t="shared" si="0"/>
        <v>3.3333333333333215E-2</v>
      </c>
      <c r="F25" s="31">
        <v>98.3</v>
      </c>
      <c r="G25" s="34">
        <f>IF(ISBLANK(F25),"",F25/F21-1)</f>
        <v>3.2563025210083918E-2</v>
      </c>
      <c r="H25" s="35"/>
      <c r="I25" s="25"/>
      <c r="J25" s="25"/>
      <c r="T25" s="32" t="s">
        <v>23</v>
      </c>
    </row>
    <row r="26" spans="3:20">
      <c r="C26" s="30">
        <v>40724</v>
      </c>
      <c r="D26" s="31">
        <v>178.3</v>
      </c>
      <c r="E26" s="34">
        <f t="shared" si="0"/>
        <v>3.6025566531086683E-2</v>
      </c>
      <c r="F26" s="31">
        <v>99.2</v>
      </c>
      <c r="G26" s="34">
        <f t="shared" ref="G26:G72" si="1">IF(ISBLANK(F26),"",F26/F22-1)</f>
        <v>3.5490605427975108E-2</v>
      </c>
      <c r="H26" s="35"/>
      <c r="I26" s="25"/>
      <c r="J26" s="25"/>
      <c r="T26" s="32" t="s">
        <v>23</v>
      </c>
    </row>
    <row r="27" spans="3:20">
      <c r="C27" s="30">
        <v>40816</v>
      </c>
      <c r="D27" s="31">
        <v>179.4</v>
      </c>
      <c r="E27" s="34">
        <f t="shared" si="0"/>
        <v>3.5199076745527913E-2</v>
      </c>
      <c r="F27" s="31">
        <v>99.8</v>
      </c>
      <c r="G27" s="34">
        <f t="shared" si="1"/>
        <v>3.4196891191709877E-2</v>
      </c>
      <c r="H27" s="35"/>
      <c r="I27" s="25"/>
      <c r="J27" s="25"/>
      <c r="T27" s="32" t="s">
        <v>23</v>
      </c>
    </row>
    <row r="28" spans="3:20">
      <c r="C28" s="30">
        <v>40908</v>
      </c>
      <c r="D28" s="31">
        <v>179.4</v>
      </c>
      <c r="E28" s="34">
        <f t="shared" si="0"/>
        <v>3.1034482758620641E-2</v>
      </c>
      <c r="F28" s="31">
        <v>99.8</v>
      </c>
      <c r="G28" s="34">
        <f t="shared" si="1"/>
        <v>2.9927760577915352E-2</v>
      </c>
      <c r="H28" s="35"/>
      <c r="I28" s="25"/>
      <c r="J28" s="25"/>
      <c r="T28" s="32" t="s">
        <v>23</v>
      </c>
    </row>
    <row r="29" spans="3:20">
      <c r="C29" s="30">
        <v>40999</v>
      </c>
      <c r="D29" s="31">
        <v>179.5</v>
      </c>
      <c r="E29" s="34">
        <f t="shared" si="0"/>
        <v>1.5846066779853007E-2</v>
      </c>
      <c r="F29" s="31">
        <v>99.9</v>
      </c>
      <c r="G29" s="34">
        <f t="shared" si="1"/>
        <v>1.6276703967446737E-2</v>
      </c>
      <c r="H29" s="35"/>
      <c r="I29" s="25"/>
      <c r="J29" s="25"/>
      <c r="T29" s="32" t="s">
        <v>23</v>
      </c>
    </row>
    <row r="30" spans="3:20">
      <c r="C30" s="30">
        <v>41090</v>
      </c>
      <c r="D30" s="25"/>
      <c r="E30" s="25"/>
      <c r="F30" s="31">
        <v>100.4</v>
      </c>
      <c r="G30" s="34">
        <f t="shared" si="1"/>
        <v>1.2096774193548487E-2</v>
      </c>
      <c r="H30" s="35"/>
      <c r="I30" s="25"/>
      <c r="J30" s="25"/>
      <c r="T30" s="32" t="s">
        <v>23</v>
      </c>
    </row>
    <row r="31" spans="3:20">
      <c r="C31" s="30">
        <v>41182</v>
      </c>
      <c r="D31" s="25"/>
      <c r="E31" s="25"/>
      <c r="F31" s="31">
        <v>101.8</v>
      </c>
      <c r="G31" s="34">
        <f t="shared" si="1"/>
        <v>2.0040080160320661E-2</v>
      </c>
      <c r="H31" s="35"/>
      <c r="I31" s="25"/>
      <c r="J31" s="25"/>
      <c r="T31" s="32" t="s">
        <v>23</v>
      </c>
    </row>
    <row r="32" spans="3:20">
      <c r="C32" s="30">
        <v>41274</v>
      </c>
      <c r="D32" s="25"/>
      <c r="E32" s="25"/>
      <c r="F32" s="31">
        <v>102</v>
      </c>
      <c r="G32" s="34">
        <f t="shared" si="1"/>
        <v>2.2044088176352838E-2</v>
      </c>
      <c r="H32" s="35"/>
      <c r="I32" s="25"/>
      <c r="J32" s="25"/>
      <c r="T32" s="32" t="s">
        <v>23</v>
      </c>
    </row>
    <row r="33" spans="3:20">
      <c r="C33" s="30">
        <v>41364</v>
      </c>
      <c r="D33" s="25"/>
      <c r="E33" s="25"/>
      <c r="F33" s="31">
        <v>102.4</v>
      </c>
      <c r="G33" s="34">
        <f t="shared" si="1"/>
        <v>2.5025025025025016E-2</v>
      </c>
      <c r="H33" s="35"/>
      <c r="I33" s="25"/>
      <c r="J33" s="25"/>
      <c r="T33" s="32" t="s">
        <v>23</v>
      </c>
    </row>
    <row r="34" spans="3:20">
      <c r="C34" s="30">
        <v>41455</v>
      </c>
      <c r="D34" s="25"/>
      <c r="E34" s="25"/>
      <c r="F34" s="31">
        <v>102.8</v>
      </c>
      <c r="G34" s="34">
        <f t="shared" si="1"/>
        <v>2.3904382470119501E-2</v>
      </c>
      <c r="H34" s="35"/>
      <c r="I34" s="25"/>
      <c r="J34" s="25"/>
      <c r="T34" s="32" t="s">
        <v>23</v>
      </c>
    </row>
    <row r="35" spans="3:20">
      <c r="C35" s="30">
        <v>41547</v>
      </c>
      <c r="D35" s="25"/>
      <c r="E35" s="25"/>
      <c r="F35" s="31">
        <v>104</v>
      </c>
      <c r="G35" s="34">
        <f t="shared" si="1"/>
        <v>2.16110019646365E-2</v>
      </c>
      <c r="H35" s="35"/>
      <c r="I35" s="25"/>
      <c r="J35" s="25"/>
      <c r="T35" s="32" t="s">
        <v>23</v>
      </c>
    </row>
    <row r="36" spans="3:20">
      <c r="C36" s="30">
        <v>41639</v>
      </c>
      <c r="D36" s="25"/>
      <c r="E36" s="25"/>
      <c r="F36" s="31">
        <v>104.8</v>
      </c>
      <c r="G36" s="34">
        <f t="shared" si="1"/>
        <v>2.7450980392156765E-2</v>
      </c>
      <c r="H36" s="35"/>
      <c r="I36" s="25"/>
      <c r="J36" s="25"/>
      <c r="T36" s="32" t="s">
        <v>23</v>
      </c>
    </row>
    <row r="37" spans="3:20">
      <c r="C37" s="30">
        <v>41729</v>
      </c>
      <c r="D37" s="25"/>
      <c r="E37" s="25"/>
      <c r="F37" s="31">
        <v>105.4</v>
      </c>
      <c r="G37" s="34">
        <f t="shared" si="1"/>
        <v>2.9296875E-2</v>
      </c>
      <c r="H37" s="35"/>
      <c r="I37" s="25"/>
      <c r="J37" s="25"/>
      <c r="T37" s="32" t="s">
        <v>23</v>
      </c>
    </row>
    <row r="38" spans="3:20">
      <c r="C38" s="30">
        <v>41820</v>
      </c>
      <c r="D38" s="25"/>
      <c r="E38" s="25"/>
      <c r="F38" s="31">
        <v>105.9</v>
      </c>
      <c r="G38" s="34">
        <f t="shared" si="1"/>
        <v>3.0155642023346418E-2</v>
      </c>
      <c r="H38" s="35"/>
      <c r="I38" s="25"/>
      <c r="J38" s="25"/>
      <c r="T38" s="32" t="s">
        <v>23</v>
      </c>
    </row>
    <row r="39" spans="3:20">
      <c r="C39" s="30">
        <v>41912</v>
      </c>
      <c r="D39" s="25"/>
      <c r="E39" s="25"/>
      <c r="F39" s="31">
        <v>106.4</v>
      </c>
      <c r="G39" s="34">
        <f t="shared" si="1"/>
        <v>2.3076923076923217E-2</v>
      </c>
      <c r="H39" s="35"/>
      <c r="I39" s="25"/>
      <c r="J39" s="25"/>
      <c r="T39" s="32" t="s">
        <v>23</v>
      </c>
    </row>
    <row r="40" spans="3:20">
      <c r="C40" s="30">
        <v>42004</v>
      </c>
      <c r="D40" s="25"/>
      <c r="E40" s="25"/>
      <c r="F40" s="31">
        <v>106.6</v>
      </c>
      <c r="G40" s="34">
        <f t="shared" si="1"/>
        <v>1.7175572519083859E-2</v>
      </c>
      <c r="H40" s="35"/>
      <c r="I40" s="25"/>
      <c r="J40" s="25"/>
      <c r="T40" s="32" t="s">
        <v>23</v>
      </c>
    </row>
    <row r="41" spans="3:20">
      <c r="C41" s="30">
        <v>42094</v>
      </c>
      <c r="D41" s="25"/>
      <c r="E41" s="25"/>
      <c r="F41" s="31">
        <v>106.8</v>
      </c>
      <c r="G41" s="34">
        <f t="shared" si="1"/>
        <v>1.3282732447817747E-2</v>
      </c>
      <c r="H41" s="35"/>
      <c r="I41" s="25"/>
      <c r="J41" s="25"/>
      <c r="T41" s="32" t="s">
        <v>23</v>
      </c>
    </row>
    <row r="42" spans="3:20">
      <c r="C42" s="30">
        <v>42185</v>
      </c>
      <c r="D42" s="25"/>
      <c r="E42" s="25"/>
      <c r="F42" s="31">
        <v>107.5</v>
      </c>
      <c r="G42" s="34">
        <f t="shared" si="1"/>
        <v>1.5108593012275628E-2</v>
      </c>
      <c r="H42" s="35"/>
      <c r="I42" s="25"/>
      <c r="J42" s="25"/>
      <c r="T42" s="32" t="s">
        <v>23</v>
      </c>
    </row>
    <row r="43" spans="3:20">
      <c r="C43" s="30">
        <v>42277</v>
      </c>
      <c r="D43" s="25"/>
      <c r="E43" s="25"/>
      <c r="F43" s="31">
        <v>108</v>
      </c>
      <c r="G43" s="34">
        <f t="shared" si="1"/>
        <v>1.5037593984962294E-2</v>
      </c>
      <c r="H43" s="35"/>
      <c r="I43" s="25"/>
      <c r="J43" s="25"/>
      <c r="T43" s="32" t="s">
        <v>23</v>
      </c>
    </row>
    <row r="44" spans="3:20">
      <c r="C44" s="30">
        <v>42369</v>
      </c>
      <c r="D44" s="25"/>
      <c r="E44" s="25"/>
      <c r="F44" s="31">
        <v>108.4</v>
      </c>
      <c r="G44" s="34">
        <f t="shared" si="1"/>
        <v>1.6885553470919357E-2</v>
      </c>
      <c r="H44" s="35"/>
      <c r="I44" s="25"/>
      <c r="J44" s="25"/>
      <c r="T44" s="32" t="s">
        <v>23</v>
      </c>
    </row>
    <row r="45" spans="3:20">
      <c r="C45" s="30">
        <v>42460</v>
      </c>
      <c r="D45" s="25"/>
      <c r="E45" s="25"/>
      <c r="F45" s="31">
        <v>108.2</v>
      </c>
      <c r="G45" s="34">
        <f t="shared" si="1"/>
        <v>1.3108614232209881E-2</v>
      </c>
      <c r="H45" s="35"/>
      <c r="I45" s="25"/>
      <c r="J45" s="25"/>
      <c r="T45" s="32" t="s">
        <v>23</v>
      </c>
    </row>
    <row r="46" spans="3:20">
      <c r="C46" s="30">
        <v>42551</v>
      </c>
      <c r="D46" s="25"/>
      <c r="E46" s="25"/>
      <c r="F46" s="31">
        <v>108.6</v>
      </c>
      <c r="G46" s="34">
        <f t="shared" si="1"/>
        <v>1.0232558139534831E-2</v>
      </c>
      <c r="H46" s="35"/>
      <c r="I46" s="25"/>
      <c r="J46" s="25"/>
      <c r="T46" s="32" t="s">
        <v>23</v>
      </c>
    </row>
    <row r="47" spans="3:20">
      <c r="C47" s="30">
        <v>42643</v>
      </c>
      <c r="D47" s="25"/>
      <c r="E47" s="25"/>
      <c r="F47" s="31">
        <v>109.4</v>
      </c>
      <c r="G47" s="34">
        <f t="shared" si="1"/>
        <v>1.2962962962963065E-2</v>
      </c>
      <c r="H47" s="35"/>
      <c r="I47" s="25"/>
      <c r="J47" s="25"/>
      <c r="T47" s="32" t="s">
        <v>23</v>
      </c>
    </row>
    <row r="48" spans="3:20">
      <c r="C48" s="30">
        <v>42735</v>
      </c>
      <c r="D48" s="25"/>
      <c r="E48" s="25"/>
      <c r="F48" s="31">
        <v>110</v>
      </c>
      <c r="G48" s="34">
        <f t="shared" si="1"/>
        <v>1.4760147601476037E-2</v>
      </c>
      <c r="H48" s="35"/>
      <c r="I48" s="25"/>
      <c r="J48" s="25"/>
      <c r="T48" s="32" t="s">
        <v>23</v>
      </c>
    </row>
    <row r="49" spans="3:20">
      <c r="C49" s="30">
        <v>42825</v>
      </c>
      <c r="D49" s="25"/>
      <c r="E49" s="25"/>
      <c r="F49" s="31">
        <v>110.5</v>
      </c>
      <c r="G49" s="34">
        <f t="shared" si="1"/>
        <v>2.1256931608133023E-2</v>
      </c>
      <c r="H49" s="35"/>
      <c r="I49" s="25"/>
      <c r="J49" s="25"/>
      <c r="T49" s="32" t="s">
        <v>23</v>
      </c>
    </row>
    <row r="50" spans="3:20">
      <c r="C50" s="30">
        <v>42916</v>
      </c>
      <c r="D50" s="25"/>
      <c r="E50" s="25"/>
      <c r="F50" s="31">
        <v>110.7</v>
      </c>
      <c r="G50" s="34">
        <f t="shared" si="1"/>
        <v>1.9337016574585641E-2</v>
      </c>
      <c r="H50" s="36"/>
      <c r="I50" s="25"/>
      <c r="J50" s="25"/>
      <c r="T50" s="32" t="s">
        <v>23</v>
      </c>
    </row>
    <row r="51" spans="3:20">
      <c r="C51" s="30">
        <v>43008</v>
      </c>
      <c r="D51" s="25"/>
      <c r="E51" s="25"/>
      <c r="F51" s="31">
        <v>111.4</v>
      </c>
      <c r="G51" s="34">
        <f t="shared" si="1"/>
        <v>1.8281535648994485E-2</v>
      </c>
      <c r="H51" s="35"/>
      <c r="I51" s="25"/>
      <c r="J51" s="25"/>
      <c r="T51" s="32" t="s">
        <v>23</v>
      </c>
    </row>
    <row r="52" spans="3:20">
      <c r="C52" s="30">
        <v>43100</v>
      </c>
      <c r="D52" s="25"/>
      <c r="E52" s="25"/>
      <c r="F52" s="31">
        <v>112.1</v>
      </c>
      <c r="G52" s="34">
        <f t="shared" si="1"/>
        <v>1.9090909090909047E-2</v>
      </c>
      <c r="H52" s="35"/>
      <c r="I52" s="25"/>
      <c r="J52" s="25"/>
      <c r="T52" s="32" t="s">
        <v>23</v>
      </c>
    </row>
    <row r="53" spans="3:20">
      <c r="C53" s="30">
        <v>43190</v>
      </c>
      <c r="D53" s="25"/>
      <c r="E53" s="25"/>
      <c r="F53" s="31">
        <v>112.6</v>
      </c>
      <c r="G53" s="34">
        <f t="shared" si="1"/>
        <v>1.9004524886877761E-2</v>
      </c>
      <c r="H53" s="35"/>
      <c r="I53" s="25"/>
      <c r="J53" s="25"/>
      <c r="T53" s="32" t="s">
        <v>23</v>
      </c>
    </row>
    <row r="54" spans="3:20">
      <c r="C54" s="30">
        <v>43281</v>
      </c>
      <c r="D54" s="25"/>
      <c r="E54" s="25"/>
      <c r="F54" s="31">
        <v>113</v>
      </c>
      <c r="G54" s="34">
        <f t="shared" si="1"/>
        <v>2.0776874435411097E-2</v>
      </c>
      <c r="H54" s="35"/>
      <c r="I54" s="25"/>
      <c r="J54" s="25"/>
      <c r="T54" s="32" t="s">
        <v>23</v>
      </c>
    </row>
    <row r="55" spans="3:20">
      <c r="C55" s="30">
        <v>43373</v>
      </c>
      <c r="D55" s="25"/>
      <c r="E55" s="25"/>
      <c r="F55" s="31">
        <v>113.5</v>
      </c>
      <c r="G55" s="34">
        <f t="shared" si="1"/>
        <v>1.8850987432674993E-2</v>
      </c>
      <c r="H55" s="35"/>
      <c r="I55" s="37"/>
      <c r="J55" s="25"/>
      <c r="T55" s="32" t="s">
        <v>23</v>
      </c>
    </row>
    <row r="56" spans="3:20">
      <c r="C56" s="30">
        <v>43465</v>
      </c>
      <c r="D56" s="25"/>
      <c r="E56" s="25"/>
      <c r="F56" s="31">
        <v>114.1</v>
      </c>
      <c r="G56" s="34">
        <f t="shared" si="1"/>
        <v>1.7841213202497874E-2</v>
      </c>
      <c r="H56" s="35"/>
      <c r="J56" s="25"/>
      <c r="T56" s="32" t="s">
        <v>23</v>
      </c>
    </row>
    <row r="57" spans="3:20">
      <c r="C57" s="30">
        <v>43555</v>
      </c>
      <c r="D57" s="25"/>
      <c r="E57" s="25"/>
      <c r="F57" s="31">
        <v>114.1</v>
      </c>
      <c r="G57" s="34">
        <f t="shared" si="1"/>
        <v>1.3321492007104752E-2</v>
      </c>
      <c r="H57" s="35"/>
      <c r="I57" s="25"/>
      <c r="J57" s="25"/>
      <c r="T57" s="32" t="s">
        <v>23</v>
      </c>
    </row>
    <row r="58" spans="3:20">
      <c r="C58" s="30">
        <v>43646</v>
      </c>
      <c r="D58" s="25"/>
      <c r="E58" s="25"/>
      <c r="F58" s="31">
        <v>114.8</v>
      </c>
      <c r="G58" s="34">
        <f t="shared" si="1"/>
        <v>1.5929203539823078E-2</v>
      </c>
      <c r="I58" s="25"/>
      <c r="J58" s="25"/>
      <c r="T58" s="32" t="s">
        <v>23</v>
      </c>
    </row>
    <row r="59" spans="3:20">
      <c r="C59" s="30">
        <v>43738</v>
      </c>
      <c r="D59" s="25"/>
      <c r="E59" s="25"/>
      <c r="F59" s="31">
        <v>115.4</v>
      </c>
      <c r="G59" s="34">
        <f t="shared" si="1"/>
        <v>1.6740088105726914E-2</v>
      </c>
      <c r="H59" s="35"/>
      <c r="I59" s="25"/>
      <c r="J59" s="25"/>
      <c r="T59" s="32" t="s">
        <v>23</v>
      </c>
    </row>
    <row r="60" spans="3:20">
      <c r="C60" s="30">
        <v>43830</v>
      </c>
      <c r="D60" s="25"/>
      <c r="E60" s="25"/>
      <c r="F60" s="31">
        <v>116.2</v>
      </c>
      <c r="G60" s="34">
        <f t="shared" si="1"/>
        <v>1.8404907975460238E-2</v>
      </c>
      <c r="H60" s="35"/>
      <c r="I60" s="25"/>
      <c r="J60" s="25"/>
      <c r="N60" s="37"/>
      <c r="T60" s="32" t="s">
        <v>23</v>
      </c>
    </row>
    <row r="61" spans="3:20">
      <c r="C61" s="30">
        <v>43921</v>
      </c>
      <c r="D61" s="25"/>
      <c r="E61" s="25"/>
      <c r="F61" s="31">
        <v>116.6</v>
      </c>
      <c r="G61" s="34">
        <f t="shared" si="1"/>
        <v>2.1910604732690686E-2</v>
      </c>
      <c r="H61" s="35"/>
      <c r="I61" s="25"/>
      <c r="J61" s="25"/>
      <c r="T61" s="32" t="s">
        <v>23</v>
      </c>
    </row>
    <row r="62" spans="3:20">
      <c r="C62" s="30">
        <v>44012</v>
      </c>
      <c r="D62" s="25"/>
      <c r="E62" s="25"/>
      <c r="F62" s="31">
        <v>114.4</v>
      </c>
      <c r="G62" s="34">
        <f t="shared" si="1"/>
        <v>-3.4843205574912606E-3</v>
      </c>
      <c r="H62" s="35"/>
      <c r="I62" s="25"/>
      <c r="J62" s="25"/>
      <c r="T62" s="32" t="s">
        <v>23</v>
      </c>
    </row>
    <row r="63" spans="3:20">
      <c r="C63" s="30">
        <v>44104</v>
      </c>
      <c r="D63" s="25"/>
      <c r="E63" s="25"/>
      <c r="F63" s="31">
        <v>116.2</v>
      </c>
      <c r="G63" s="34">
        <f t="shared" si="1"/>
        <v>6.9324090121316573E-3</v>
      </c>
      <c r="H63" s="35"/>
      <c r="I63" s="25"/>
      <c r="J63" s="25"/>
      <c r="T63" s="32" t="s">
        <v>23</v>
      </c>
    </row>
    <row r="64" spans="3:20">
      <c r="C64" s="30">
        <v>44196</v>
      </c>
      <c r="D64" s="25"/>
      <c r="E64" s="25"/>
      <c r="F64" s="31">
        <v>117.2</v>
      </c>
      <c r="G64" s="34">
        <f t="shared" si="1"/>
        <v>8.6058519793459354E-3</v>
      </c>
      <c r="H64" s="35"/>
      <c r="I64" s="25"/>
      <c r="J64" s="25"/>
      <c r="N64" s="37"/>
      <c r="T64" s="32" t="s">
        <v>23</v>
      </c>
    </row>
    <row r="65" spans="1:24">
      <c r="C65" s="30">
        <v>44286</v>
      </c>
      <c r="D65" s="25"/>
      <c r="E65" s="25"/>
      <c r="F65" s="31">
        <v>117.9</v>
      </c>
      <c r="G65" s="34">
        <f t="shared" si="1"/>
        <v>1.1149228130360234E-2</v>
      </c>
      <c r="H65" s="35"/>
      <c r="I65" s="25"/>
      <c r="J65" s="25"/>
      <c r="N65" s="37"/>
      <c r="T65" s="38"/>
    </row>
    <row r="66" spans="1:24">
      <c r="C66" s="30">
        <v>44377</v>
      </c>
      <c r="D66" s="25"/>
      <c r="E66" s="25"/>
      <c r="F66" s="31">
        <v>118.8</v>
      </c>
      <c r="G66" s="34">
        <f t="shared" si="1"/>
        <v>3.8461538461538325E-2</v>
      </c>
      <c r="H66" s="35"/>
      <c r="I66" s="25"/>
      <c r="J66" s="25"/>
      <c r="N66" s="37"/>
      <c r="T66" s="38"/>
    </row>
    <row r="67" spans="1:24">
      <c r="C67" s="30">
        <v>44469</v>
      </c>
      <c r="D67" s="25"/>
      <c r="E67" s="25"/>
      <c r="F67" s="31">
        <v>119.7</v>
      </c>
      <c r="G67" s="34">
        <f t="shared" si="1"/>
        <v>3.0120481927710774E-2</v>
      </c>
      <c r="H67" s="35"/>
      <c r="I67" s="25"/>
      <c r="J67" s="25"/>
      <c r="N67" s="37"/>
      <c r="T67" s="38"/>
    </row>
    <row r="68" spans="1:24">
      <c r="C68" s="30">
        <v>44561</v>
      </c>
      <c r="D68" s="25"/>
      <c r="E68" s="25"/>
      <c r="F68" s="31">
        <v>121.3</v>
      </c>
      <c r="G68" s="34">
        <f t="shared" si="1"/>
        <v>3.4982935153583528E-2</v>
      </c>
      <c r="H68" s="35"/>
      <c r="I68" s="25"/>
      <c r="J68" s="25"/>
      <c r="N68" s="37"/>
      <c r="T68" s="38"/>
    </row>
    <row r="69" spans="1:24">
      <c r="C69" s="30">
        <v>44651</v>
      </c>
      <c r="D69" s="25"/>
      <c r="E69" s="25"/>
      <c r="F69" s="31">
        <f>AVERAGE(F68,F70)</f>
        <v>122.2775</v>
      </c>
      <c r="G69" s="34">
        <f t="shared" si="1"/>
        <v>3.7128922815945709E-2</v>
      </c>
      <c r="H69" s="35" t="s">
        <v>32</v>
      </c>
      <c r="I69" s="25"/>
      <c r="J69" s="25"/>
      <c r="N69" s="37"/>
      <c r="T69" s="38"/>
    </row>
    <row r="70" spans="1:24">
      <c r="C70" s="30">
        <v>44742</v>
      </c>
      <c r="D70" s="25"/>
      <c r="E70" s="25"/>
      <c r="F70" s="31">
        <f>F66*(1+3.75%)</f>
        <v>123.25500000000001</v>
      </c>
      <c r="G70" s="34">
        <f t="shared" si="1"/>
        <v>3.7500000000000089E-2</v>
      </c>
      <c r="H70" s="35" t="s">
        <v>33</v>
      </c>
      <c r="I70" s="25"/>
      <c r="J70" s="25"/>
      <c r="N70" s="37" t="s">
        <v>34</v>
      </c>
      <c r="T70" s="38"/>
    </row>
    <row r="71" spans="1:24">
      <c r="C71" s="30">
        <v>44834</v>
      </c>
      <c r="D71" s="25"/>
      <c r="E71" s="25"/>
      <c r="F71" s="31">
        <f>AVERAGE(F70,F72)</f>
        <v>124.248625</v>
      </c>
      <c r="G71" s="34">
        <f t="shared" si="1"/>
        <v>3.8000208855472062E-2</v>
      </c>
      <c r="H71" s="35" t="s">
        <v>32</v>
      </c>
      <c r="I71" s="25"/>
      <c r="J71" s="25"/>
      <c r="N71" s="37"/>
      <c r="T71" s="38"/>
    </row>
    <row r="72" spans="1:24">
      <c r="C72" s="30">
        <v>44926</v>
      </c>
      <c r="D72" s="25"/>
      <c r="E72" s="25"/>
      <c r="F72" s="31">
        <f>F68*(1+3.25%)</f>
        <v>125.24225</v>
      </c>
      <c r="G72" s="34">
        <f t="shared" si="1"/>
        <v>3.2499999999999973E-2</v>
      </c>
      <c r="H72" s="35" t="s">
        <v>33</v>
      </c>
      <c r="I72" s="25"/>
      <c r="J72" s="25"/>
      <c r="N72" s="37" t="s">
        <v>34</v>
      </c>
      <c r="T72" s="38"/>
    </row>
    <row r="73" spans="1:24">
      <c r="F73" s="25"/>
      <c r="G73" s="25"/>
      <c r="H73" s="25"/>
      <c r="I73" s="25"/>
      <c r="J73" s="25"/>
      <c r="T73" s="38"/>
    </row>
    <row r="74" spans="1:24" s="24" customFormat="1" ht="12.75">
      <c r="A74" s="19"/>
      <c r="B74" s="20" t="s">
        <v>35</v>
      </c>
      <c r="C74" s="19"/>
      <c r="D74" s="19"/>
      <c r="E74" s="19"/>
      <c r="F74" s="19"/>
      <c r="G74" s="21"/>
      <c r="H74" s="21"/>
      <c r="I74" s="21"/>
      <c r="J74" s="21"/>
      <c r="K74" s="22"/>
      <c r="L74" s="23"/>
      <c r="M74" s="22"/>
      <c r="N74" s="23"/>
      <c r="O74" s="22"/>
      <c r="P74" s="22"/>
      <c r="Q74" s="22"/>
      <c r="R74" s="22"/>
      <c r="S74" s="22"/>
      <c r="T74" s="22"/>
      <c r="U74" s="22"/>
      <c r="V74" s="22"/>
      <c r="W74" s="23"/>
      <c r="X74" s="23"/>
    </row>
    <row r="75" spans="1:24">
      <c r="D75" s="25"/>
      <c r="E75" s="25"/>
      <c r="F75" s="25"/>
      <c r="G75" s="25"/>
      <c r="H75" s="25"/>
      <c r="I75" s="25"/>
      <c r="J75" s="25"/>
    </row>
    <row r="76" spans="1:24">
      <c r="D76" s="25"/>
      <c r="E76" s="25"/>
      <c r="F76" s="25"/>
      <c r="G76" s="25"/>
      <c r="H76" s="25"/>
      <c r="I76" s="25"/>
      <c r="J76" s="25"/>
    </row>
    <row r="77" spans="1:24" s="26" customFormat="1"/>
    <row r="78" spans="1:24" s="26" customFormat="1"/>
    <row r="79" spans="1:24" s="26" customFormat="1"/>
    <row r="80" spans="1:24" s="26" customFormat="1"/>
    <row r="81" s="26" customFormat="1"/>
    <row r="82" s="26" customFormat="1"/>
    <row r="83" s="26" customFormat="1"/>
    <row r="84" s="26" customFormat="1"/>
  </sheetData>
  <conditionalFormatting sqref="X14:X50 T73 X63:X73">
    <cfRule type="cellIs" dxfId="15" priority="9" operator="equal">
      <formula>"Check"</formula>
    </cfRule>
    <cfRule type="cellIs" dxfId="14" priority="10" operator="equal">
      <formula>"Ok"</formula>
    </cfRule>
  </conditionalFormatting>
  <conditionalFormatting sqref="W1">
    <cfRule type="cellIs" dxfId="13" priority="7" operator="equal">
      <formula>"Check"</formula>
    </cfRule>
    <cfRule type="cellIs" dxfId="12" priority="8" operator="equal">
      <formula>"Ok"</formula>
    </cfRule>
  </conditionalFormatting>
  <conditionalFormatting sqref="T1">
    <cfRule type="cellIs" dxfId="11" priority="5" operator="equal">
      <formula>"Check"</formula>
    </cfRule>
    <cfRule type="cellIs" dxfId="10" priority="6" operator="equal">
      <formula>"Ok"</formula>
    </cfRule>
  </conditionalFormatting>
  <conditionalFormatting sqref="X51:X57">
    <cfRule type="cellIs" dxfId="9" priority="3" operator="equal">
      <formula>"Check"</formula>
    </cfRule>
    <cfRule type="cellIs" dxfId="8" priority="4" operator="equal">
      <formula>"Ok"</formula>
    </cfRule>
  </conditionalFormatting>
  <conditionalFormatting sqref="X58:X62 T9:T72">
    <cfRule type="cellIs" dxfId="7" priority="1" operator="equal">
      <formula>"Check"</formula>
    </cfRule>
    <cfRule type="cellIs" dxfId="6" priority="2" operator="equal">
      <formula>"Ok"</formula>
    </cfRule>
  </conditionalFormatting>
  <dataValidations count="2">
    <dataValidation type="list" allowBlank="1" showInputMessage="1" showErrorMessage="1" sqref="J12:J73" xr:uid="{00000000-0002-0000-0200-000000000000}">
      <formula1>#REF!</formula1>
    </dataValidation>
    <dataValidation type="list" allowBlank="1" showInputMessage="1" showErrorMessage="1" sqref="G73" xr:uid="{00000000-0002-0000-0200-000001000000}">
      <formula1>"Real 2010,Real 2011,Real 2012,Real 2013,Real 2014,Real 2015,Nominal"</formula1>
    </dataValidation>
  </dataValidations>
  <hyperlinks>
    <hyperlink ref="K1" location="Index!A1" display="Back to Index" xr:uid="{00000000-0004-0000-0200-000000000000}"/>
    <hyperlink ref="V1" location="'Check|List'!A1" display="Overall Check:" xr:uid="{00000000-0004-0000-0200-000001000000}"/>
  </hyperlinks>
  <pageMargins left="0.7" right="0.7" top="0.75" bottom="0.75" header="0.3" footer="0.3"/>
  <pageSetup paperSize="9" orientation="portrait" verticalDpi="4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>
    <tabColor rgb="FFFFFF99"/>
  </sheetPr>
  <dimension ref="A1:AX31"/>
  <sheetViews>
    <sheetView showGridLines="0" zoomScaleNormal="100" workbookViewId="0">
      <selection activeCell="F20" sqref="F20"/>
    </sheetView>
  </sheetViews>
  <sheetFormatPr defaultColWidth="0" defaultRowHeight="9.9499999999999993" customHeight="1" zeroHeight="1" outlineLevelRow="1"/>
  <cols>
    <col min="1" max="2" width="1.140625" style="25" customWidth="1"/>
    <col min="3" max="3" width="47" style="25" bestFit="1" customWidth="1"/>
    <col min="4" max="4" width="22.5703125" style="26" customWidth="1"/>
    <col min="5" max="5" width="12.85546875" style="26" customWidth="1"/>
    <col min="6" max="6" width="8.7109375" style="26" customWidth="1"/>
    <col min="7" max="9" width="2.7109375" style="26" customWidth="1"/>
    <col min="10" max="10" width="8.85546875" style="26" customWidth="1"/>
    <col min="11" max="23" width="8.85546875" style="25" customWidth="1"/>
    <col min="24" max="50" width="8.5703125" style="25" customWidth="1"/>
    <col min="51" max="16384" width="8.5703125" style="25" hidden="1"/>
  </cols>
  <sheetData>
    <row r="1" spans="1:23" s="4" customFormat="1" ht="15.75">
      <c r="B1" s="5" t="s">
        <v>15</v>
      </c>
      <c r="C1" s="5"/>
      <c r="D1" s="5"/>
      <c r="E1" s="5"/>
      <c r="F1" s="6"/>
      <c r="G1" s="6"/>
      <c r="H1" s="6"/>
      <c r="I1" s="6"/>
      <c r="J1" s="6"/>
      <c r="K1" s="7" t="s">
        <v>16</v>
      </c>
      <c r="M1" s="8" t="s">
        <v>17</v>
      </c>
      <c r="N1" s="9" t="s">
        <v>18</v>
      </c>
      <c r="O1" s="10" t="s">
        <v>19</v>
      </c>
      <c r="P1" s="11" t="s">
        <v>20</v>
      </c>
      <c r="S1" s="8" t="s">
        <v>21</v>
      </c>
      <c r="T1" s="12" t="str">
        <f>IF(COUNTIF(W5:W31,"Check")=0,"Ok","Check")</f>
        <v>Ok</v>
      </c>
      <c r="V1" s="13" t="s">
        <v>22</v>
      </c>
      <c r="W1" s="12" t="s">
        <v>23</v>
      </c>
    </row>
    <row r="2" spans="1:23" s="14" customFormat="1" ht="13.5" thickBot="1">
      <c r="B2" s="15" t="s">
        <v>36</v>
      </c>
      <c r="C2" s="15"/>
      <c r="D2" s="15"/>
      <c r="E2" s="15"/>
      <c r="F2" s="16"/>
      <c r="G2" s="16"/>
      <c r="H2" s="16"/>
      <c r="I2" s="16"/>
      <c r="J2" s="16"/>
    </row>
    <row r="3" spans="1:23" s="39" customFormat="1" ht="11.25">
      <c r="D3" s="40"/>
      <c r="E3" s="40"/>
      <c r="F3" s="40"/>
      <c r="G3" s="40"/>
      <c r="H3" s="40"/>
      <c r="I3" s="40"/>
      <c r="J3" s="41" t="s">
        <v>37</v>
      </c>
      <c r="K3" s="89"/>
      <c r="L3" s="89"/>
      <c r="M3" s="89"/>
      <c r="N3" s="40"/>
      <c r="O3" s="89"/>
      <c r="P3" s="89"/>
      <c r="Q3" s="89"/>
      <c r="R3" s="89"/>
      <c r="S3" s="89"/>
      <c r="T3" s="89"/>
      <c r="U3" s="42"/>
      <c r="V3" s="42"/>
      <c r="W3" s="42"/>
    </row>
    <row r="4" spans="1:23" s="50" customFormat="1" ht="10.5">
      <c r="A4" s="43"/>
      <c r="B4" s="43"/>
      <c r="C4" s="43"/>
      <c r="D4" s="44" t="s">
        <v>2</v>
      </c>
      <c r="E4" s="44" t="s">
        <v>3</v>
      </c>
      <c r="F4" s="45" t="s">
        <v>4</v>
      </c>
      <c r="G4" s="46"/>
      <c r="H4" s="46"/>
      <c r="I4" s="46"/>
      <c r="J4" s="47">
        <f>DATE(2017,12,1)</f>
        <v>43070</v>
      </c>
      <c r="K4" s="47">
        <f>DATE(YEAR(J4)+1,12,1)</f>
        <v>43435</v>
      </c>
      <c r="L4" s="47">
        <f t="shared" ref="L4:T4" si="0">DATE(YEAR(K4)+1,12,1)</f>
        <v>43800</v>
      </c>
      <c r="M4" s="47">
        <f t="shared" si="0"/>
        <v>44166</v>
      </c>
      <c r="N4" s="47">
        <f t="shared" si="0"/>
        <v>44531</v>
      </c>
      <c r="O4" s="47">
        <f t="shared" si="0"/>
        <v>44896</v>
      </c>
      <c r="P4" s="47">
        <f t="shared" si="0"/>
        <v>45261</v>
      </c>
      <c r="Q4" s="47">
        <f t="shared" si="0"/>
        <v>45627</v>
      </c>
      <c r="R4" s="47">
        <f t="shared" si="0"/>
        <v>45992</v>
      </c>
      <c r="S4" s="47">
        <f t="shared" si="0"/>
        <v>46357</v>
      </c>
      <c r="T4" s="47">
        <f t="shared" si="0"/>
        <v>46722</v>
      </c>
      <c r="U4" s="48"/>
      <c r="V4" s="48"/>
      <c r="W4" s="49"/>
    </row>
    <row r="5" spans="1:23" s="17" customFormat="1" ht="3" customHeight="1">
      <c r="D5" s="18"/>
      <c r="E5" s="18"/>
      <c r="F5" s="18"/>
      <c r="G5" s="18"/>
      <c r="H5" s="18"/>
      <c r="I5" s="18"/>
      <c r="J5" s="18"/>
    </row>
    <row r="6" spans="1:23" s="17" customFormat="1" ht="9" customHeight="1">
      <c r="D6" s="18"/>
      <c r="E6" s="18"/>
      <c r="F6" s="18"/>
      <c r="G6" s="18"/>
      <c r="H6" s="18"/>
      <c r="I6" s="18"/>
      <c r="J6" s="18"/>
    </row>
    <row r="7" spans="1:23" s="17" customFormat="1" ht="3" customHeight="1">
      <c r="D7" s="18"/>
      <c r="E7" s="18"/>
      <c r="F7" s="18"/>
      <c r="G7" s="18"/>
      <c r="H7" s="18"/>
      <c r="I7" s="18"/>
      <c r="J7" s="18"/>
    </row>
    <row r="8" spans="1:23" s="24" customFormat="1" ht="12.75">
      <c r="A8" s="19"/>
      <c r="B8" s="20" t="s">
        <v>38</v>
      </c>
      <c r="C8" s="19"/>
      <c r="D8" s="19"/>
      <c r="E8" s="19"/>
      <c r="F8" s="21"/>
      <c r="G8" s="21"/>
      <c r="H8" s="21"/>
      <c r="I8" s="21"/>
      <c r="J8" s="21"/>
      <c r="K8" s="22"/>
      <c r="L8" s="23"/>
      <c r="M8" s="22"/>
      <c r="N8" s="23"/>
      <c r="O8" s="22"/>
      <c r="P8" s="22"/>
      <c r="Q8" s="22"/>
      <c r="R8" s="22"/>
      <c r="S8" s="22"/>
      <c r="T8" s="22"/>
      <c r="U8" s="22"/>
      <c r="V8" s="22"/>
      <c r="W8" s="23"/>
    </row>
    <row r="9" spans="1:23" ht="11.25" customHeight="1" outlineLevel="1">
      <c r="O9" s="84"/>
      <c r="P9" s="60"/>
      <c r="Q9" s="85"/>
    </row>
    <row r="10" spans="1:23" ht="11.25" customHeight="1" outlineLevel="1">
      <c r="C10" s="28" t="s">
        <v>39</v>
      </c>
      <c r="J10" s="51">
        <f>J4</f>
        <v>43070</v>
      </c>
      <c r="K10" s="51">
        <f t="shared" ref="K10:O10" si="1">K4</f>
        <v>43435</v>
      </c>
      <c r="L10" s="51">
        <f t="shared" si="1"/>
        <v>43800</v>
      </c>
      <c r="M10" s="51">
        <f t="shared" si="1"/>
        <v>44166</v>
      </c>
      <c r="N10" s="51">
        <f t="shared" si="1"/>
        <v>44531</v>
      </c>
      <c r="O10" s="51">
        <f t="shared" si="1"/>
        <v>44896</v>
      </c>
    </row>
    <row r="11" spans="1:23" ht="11.25" customHeight="1" outlineLevel="1">
      <c r="C11" s="28"/>
      <c r="J11" s="25"/>
      <c r="P11" s="53"/>
      <c r="Q11" s="53"/>
      <c r="R11" s="53"/>
    </row>
    <row r="12" spans="1:23" ht="11.25" customHeight="1" outlineLevel="1">
      <c r="C12" s="54" t="s">
        <v>39</v>
      </c>
      <c r="D12" s="55" t="s">
        <v>40</v>
      </c>
      <c r="E12" s="26" t="s">
        <v>41</v>
      </c>
      <c r="J12" s="52">
        <f ca="1">IF(J10=J4,LOOKUP(EOMONTH(J4,0),'Input|Inflation'!$C$9:$C$72,'Input|Inflation'!$G$9:$G$64),"")</f>
        <v>1.9090909090909047E-2</v>
      </c>
      <c r="K12" s="52">
        <f ca="1">IF(K10=K4,LOOKUP(EOMONTH(K4,0),'Input|Inflation'!$C$9:$C$72,'Input|Inflation'!$G$9:$G$64),"")</f>
        <v>1.7841213202497874E-2</v>
      </c>
      <c r="L12" s="52">
        <f ca="1">IF(L10=L4,LOOKUP(EOMONTH(L4,0),'Input|Inflation'!$C$9:$C$72,'Input|Inflation'!$G$9:$G$64),"")</f>
        <v>1.8404907975460238E-2</v>
      </c>
      <c r="M12" s="52">
        <f ca="1">IF(M10=M4,LOOKUP(EOMONTH(M4,0),'Input|Inflation'!$C$9:$C$72,'Input|Inflation'!$G$9:$G$64),"")</f>
        <v>8.6058519793459354E-3</v>
      </c>
      <c r="N12" s="52">
        <f ca="1">IF(N10=N4,LOOKUP(EOMONTH(N4,0),'Input|Inflation'!$C$9:$C$72,'Input|Inflation'!$G$9:$G$64),"")</f>
        <v>3.4982935153583528E-2</v>
      </c>
      <c r="O12" s="52">
        <f ca="1">IF(O10=O4,LOOKUP(EOMONTH(O4,0),'Input|Inflation'!$C$9:$C$72,'Input|Inflation'!$G$9:$G$64),"")</f>
        <v>3.2499999999999973E-2</v>
      </c>
      <c r="P12" s="56"/>
    </row>
    <row r="13" spans="1:23" ht="11.25" customHeight="1" outlineLevel="1">
      <c r="D13" s="25"/>
      <c r="E13" s="25"/>
      <c r="F13" s="25"/>
      <c r="G13" s="25"/>
      <c r="H13" s="25"/>
      <c r="I13" s="25"/>
      <c r="J13" s="25"/>
    </row>
    <row r="14" spans="1:23" ht="11.25" customHeight="1" outlineLevel="1">
      <c r="C14" s="28" t="s">
        <v>42</v>
      </c>
      <c r="I14" s="25"/>
      <c r="J14" s="51">
        <f>J4</f>
        <v>43070</v>
      </c>
      <c r="K14" s="51">
        <f t="shared" ref="K14:O14" si="2">K4</f>
        <v>43435</v>
      </c>
      <c r="L14" s="51">
        <f t="shared" si="2"/>
        <v>43800</v>
      </c>
      <c r="M14" s="51">
        <f t="shared" si="2"/>
        <v>44166</v>
      </c>
      <c r="N14" s="51">
        <f t="shared" si="2"/>
        <v>44531</v>
      </c>
      <c r="O14" s="51">
        <f t="shared" si="2"/>
        <v>44896</v>
      </c>
    </row>
    <row r="15" spans="1:23" ht="11.25" customHeight="1" outlineLevel="1">
      <c r="C15" s="28"/>
      <c r="I15" s="25"/>
      <c r="J15" s="53"/>
      <c r="K15" s="53"/>
      <c r="L15" s="53"/>
      <c r="M15" s="53"/>
      <c r="N15" s="53"/>
      <c r="O15" s="53"/>
    </row>
    <row r="16" spans="1:23" ht="11.25" customHeight="1" outlineLevel="1">
      <c r="C16" s="58">
        <f t="array" ref="C16:C21">TRANSPOSE(J10:O10)</f>
        <v>43070</v>
      </c>
      <c r="D16" s="55" t="str">
        <f t="shared" ref="D16:D20" si="3">IF(ISNONTEXT($C16),"calculated","")</f>
        <v>calculated</v>
      </c>
      <c r="E16" s="26" t="str">
        <f>IF(ISNONTEXT($C16),"index","")</f>
        <v>index</v>
      </c>
      <c r="J16" s="59">
        <f t="shared" ref="J16:N21" si="4">IF(AND($C16&gt;J$14,ISNONTEXT($C16)),K16/(1+K$12),IF(AND($C16=J$14,J$14=J$4),1,IF(AND($C16&lt;J$14,J$14=J$4),I16*(1+J$12),0)))</f>
        <v>1</v>
      </c>
      <c r="K16" s="59">
        <f t="shared" ca="1" si="4"/>
        <v>1.0178412132024979</v>
      </c>
      <c r="L16" s="59">
        <f t="shared" ca="1" si="4"/>
        <v>1.0365744870651206</v>
      </c>
      <c r="M16" s="59">
        <f t="shared" ca="1" si="4"/>
        <v>1.0454950936663694</v>
      </c>
      <c r="N16" s="59">
        <f t="shared" ca="1" si="4"/>
        <v>1.0820695807314897</v>
      </c>
      <c r="O16" s="59">
        <f ca="1">IF(AND($C16&gt;O$14,ISNONTEXT($C16)),#REF!/(1+O$12),IF(AND($C16=O$14,O$14=O$4),1,IF(AND($C16&lt;O$14,O$14=O$4),N16*(1+O$12),0)))</f>
        <v>1.1172368421052632</v>
      </c>
    </row>
    <row r="17" spans="3:20" ht="11.25" customHeight="1" outlineLevel="1">
      <c r="C17" s="58">
        <v>43435</v>
      </c>
      <c r="D17" s="55" t="str">
        <f t="shared" si="3"/>
        <v>calculated</v>
      </c>
      <c r="E17" s="26" t="str">
        <f t="shared" ref="E17:E21" si="5">IF(ISNONTEXT($C17),"index","")</f>
        <v>index</v>
      </c>
      <c r="I17" s="59"/>
      <c r="J17" s="59">
        <f t="shared" ca="1" si="4"/>
        <v>0.98247151621384743</v>
      </c>
      <c r="K17" s="59">
        <f t="shared" si="4"/>
        <v>1</v>
      </c>
      <c r="L17" s="59">
        <f t="shared" ca="1" si="4"/>
        <v>1.0184049079754602</v>
      </c>
      <c r="M17" s="59">
        <f t="shared" ca="1" si="4"/>
        <v>1.0271691498685365</v>
      </c>
      <c r="N17" s="59">
        <f t="shared" ca="1" si="4"/>
        <v>1.0631025416301489</v>
      </c>
      <c r="O17" s="59">
        <f ca="1">IF(AND($C17&gt;O$14,ISNONTEXT($C17)),#REF!/(1+O$12),IF(AND($C17=O$14,O$14=O$4),1,IF(AND($C17&lt;O$14,O$14=O$4),N17*(1+O$12),0)))</f>
        <v>1.0976533742331287</v>
      </c>
    </row>
    <row r="18" spans="3:20" ht="11.25" customHeight="1" outlineLevel="1">
      <c r="C18" s="58">
        <v>43800</v>
      </c>
      <c r="D18" s="55" t="str">
        <f t="shared" si="3"/>
        <v>calculated</v>
      </c>
      <c r="E18" s="26" t="str">
        <f t="shared" si="5"/>
        <v>index</v>
      </c>
      <c r="I18" s="59"/>
      <c r="J18" s="59">
        <f t="shared" ca="1" si="4"/>
        <v>0.9647160068846814</v>
      </c>
      <c r="K18" s="59">
        <f t="shared" ca="1" si="4"/>
        <v>0.98192771084337338</v>
      </c>
      <c r="L18" s="59">
        <f t="shared" si="4"/>
        <v>1</v>
      </c>
      <c r="M18" s="59">
        <f t="shared" ca="1" si="4"/>
        <v>1.0086058519793459</v>
      </c>
      <c r="N18" s="59">
        <f t="shared" ca="1" si="4"/>
        <v>1.0438898450946643</v>
      </c>
      <c r="O18" s="59">
        <f ca="1">IF(AND($C18&gt;O$14,ISNONTEXT($C18)),#REF!/(1+O$12),IF(AND($C18=O$14,O$14=O$4),1,IF(AND($C18&lt;O$14,O$14=O$4),N18*(1+O$12),0)))</f>
        <v>1.077816265060241</v>
      </c>
    </row>
    <row r="19" spans="3:20" ht="11.25" customHeight="1" outlineLevel="1">
      <c r="C19" s="58">
        <v>44166</v>
      </c>
      <c r="D19" s="55" t="str">
        <f t="shared" si="3"/>
        <v>calculated</v>
      </c>
      <c r="E19" s="26" t="str">
        <f t="shared" si="5"/>
        <v>index</v>
      </c>
      <c r="I19" s="59"/>
      <c r="J19" s="59">
        <f t="shared" ca="1" si="4"/>
        <v>0.956484641638225</v>
      </c>
      <c r="K19" s="59">
        <f t="shared" ca="1" si="4"/>
        <v>0.97354948805460739</v>
      </c>
      <c r="L19" s="59">
        <f t="shared" ca="1" si="4"/>
        <v>0.99146757679180886</v>
      </c>
      <c r="M19" s="59">
        <f t="shared" si="4"/>
        <v>1</v>
      </c>
      <c r="N19" s="59">
        <f t="shared" ca="1" si="4"/>
        <v>1.0349829351535835</v>
      </c>
      <c r="O19" s="59">
        <f ca="1">IF(AND($C19&gt;O$14,ISNONTEXT($C19)),#REF!/(1+O$12),IF(AND($C19=O$14,O$14=O$4),1,IF(AND($C19&lt;O$14,O$14=O$4),N19*(1+O$12),0)))</f>
        <v>1.0686198805460749</v>
      </c>
    </row>
    <row r="20" spans="3:20" ht="11.25" customHeight="1" outlineLevel="1">
      <c r="C20" s="58">
        <v>44531</v>
      </c>
      <c r="D20" s="55" t="str">
        <f t="shared" si="3"/>
        <v>calculated</v>
      </c>
      <c r="E20" s="26" t="str">
        <f t="shared" si="5"/>
        <v>index</v>
      </c>
      <c r="I20" s="59"/>
      <c r="J20" s="59">
        <f ca="1">IF(AND($C20&gt;J$14,ISNONTEXT($C20)),K20/(1+K$12),IF(AND($C20=J$14,J$14=J$4),1,IF(AND($C20&lt;J$14,J$14=J$4),I20*(1+J$12),0)))</f>
        <v>0.92415498763396531</v>
      </c>
      <c r="K20" s="59">
        <f t="shared" ca="1" si="4"/>
        <v>0.94064303380049463</v>
      </c>
      <c r="L20" s="59">
        <f t="shared" ca="1" si="4"/>
        <v>0.95795548227535043</v>
      </c>
      <c r="M20" s="59">
        <f t="shared" ca="1" si="4"/>
        <v>0.9661995053586151</v>
      </c>
      <c r="N20" s="59">
        <f t="shared" si="4"/>
        <v>1</v>
      </c>
      <c r="O20" s="59">
        <f ca="1">IF(AND($C20&gt;O$14,ISNONTEXT($C20)),#REF!/(1+O$12),IF(AND($C20=O$14,O$14=O$4),1,IF(AND($C20&lt;O$14,O$14=O$4),N20*(1+O$12),0)))</f>
        <v>1.0325</v>
      </c>
    </row>
    <row r="21" spans="3:20" ht="11.25" customHeight="1" outlineLevel="1">
      <c r="C21" s="58">
        <v>44896</v>
      </c>
      <c r="D21" s="55" t="str">
        <f>IF(ISNONTEXT($C21),"calculated","")</f>
        <v>calculated</v>
      </c>
      <c r="E21" s="26" t="str">
        <f t="shared" si="5"/>
        <v>index</v>
      </c>
      <c r="I21" s="59"/>
      <c r="J21" s="59">
        <f ca="1">IF(AND($C21&gt;J$14,ISNONTEXT($C21)),K21/(1+K$12),IF(AND($C21=J$14,J$14=J$4),1,IF(AND($C21&lt;J$14,J$14=J$4),I21*(1+J$12),0)))</f>
        <v>0.89506536332587439</v>
      </c>
      <c r="K21" s="59">
        <f t="shared" ca="1" si="4"/>
        <v>0.91103441530314255</v>
      </c>
      <c r="L21" s="59">
        <f t="shared" ca="1" si="4"/>
        <v>0.92780191987927407</v>
      </c>
      <c r="M21" s="59">
        <f t="shared" ca="1" si="4"/>
        <v>0.93578644586790805</v>
      </c>
      <c r="N21" s="59">
        <f t="shared" ca="1" si="4"/>
        <v>0.96852300242130751</v>
      </c>
      <c r="O21" s="59">
        <f>IF(AND($C21&gt;O$14,ISNONTEXT($C21)),#REF!/(1+O$12),IF(AND($C21=O$14,O$14=O$4),1,IF(AND($C21&lt;O$14,O$14=O$4),N21*(1+O$12),0)))</f>
        <v>1</v>
      </c>
    </row>
    <row r="22" spans="3:20" ht="11.25" customHeight="1" outlineLevel="1">
      <c r="C22" s="54"/>
      <c r="J22" s="59"/>
      <c r="K22" s="59"/>
      <c r="L22" s="59"/>
      <c r="M22" s="59"/>
      <c r="N22" s="59"/>
      <c r="O22" s="59"/>
    </row>
    <row r="23" spans="3:20" ht="11.25" customHeight="1" outlineLevel="1">
      <c r="C23" s="28" t="s">
        <v>43</v>
      </c>
      <c r="J23" s="51">
        <f>J4</f>
        <v>43070</v>
      </c>
      <c r="K23" s="51">
        <f t="shared" ref="K23:O23" si="6">K4</f>
        <v>43435</v>
      </c>
      <c r="L23" s="51">
        <f t="shared" si="6"/>
        <v>43800</v>
      </c>
      <c r="M23" s="51">
        <f t="shared" si="6"/>
        <v>44166</v>
      </c>
      <c r="N23" s="51">
        <f t="shared" si="6"/>
        <v>44531</v>
      </c>
      <c r="O23" s="51">
        <f t="shared" si="6"/>
        <v>44896</v>
      </c>
    </row>
    <row r="24" spans="3:20" ht="11.25" customHeight="1" outlineLevel="1">
      <c r="C24" s="54"/>
      <c r="J24" s="25"/>
    </row>
    <row r="25" spans="3:20" ht="11.25" customHeight="1" outlineLevel="1">
      <c r="C25" s="58">
        <f t="array" ref="C25:C30">TRANSPOSE(J10:O10)</f>
        <v>43070</v>
      </c>
      <c r="D25" s="55" t="str">
        <f t="shared" ref="D25:D30" si="7">IF(ISNONTEXT($C25),"calculated","")</f>
        <v>calculated</v>
      </c>
      <c r="E25" s="26" t="str">
        <f>IF(ISNONTEXT($C25),"index","")</f>
        <v>index</v>
      </c>
      <c r="I25" s="59"/>
      <c r="J25" s="59">
        <f ca="1">IF(AND(J$23=J$4,ISNONTEXT($C25)),1/J16*(1+J$12)^0.5,0)</f>
        <v>1.0095003264441815</v>
      </c>
      <c r="K25" s="59">
        <f t="shared" ref="K25:O25" ca="1" si="8">IF(AND(K$23=K$4,ISNONTEXT($C25)),1/K16*(1+K$12)^0.5,0)</f>
        <v>0.99119701180635511</v>
      </c>
      <c r="L25" s="59">
        <f t="shared" ca="1" si="8"/>
        <v>0.97355328462275847</v>
      </c>
      <c r="M25" s="59">
        <f t="shared" ca="1" si="8"/>
        <v>0.96059150742016974</v>
      </c>
      <c r="N25" s="59">
        <f t="shared" ca="1" si="8"/>
        <v>0.94018086141191581</v>
      </c>
      <c r="O25" s="59">
        <f t="shared" ca="1" si="8"/>
        <v>0.90949388110971585</v>
      </c>
      <c r="P25" s="60"/>
      <c r="Q25" s="60"/>
    </row>
    <row r="26" spans="3:20" ht="11.25" customHeight="1" outlineLevel="1">
      <c r="C26" s="58">
        <v>43435</v>
      </c>
      <c r="D26" s="55" t="str">
        <f t="shared" si="7"/>
        <v>calculated</v>
      </c>
      <c r="E26" s="26" t="str">
        <f t="shared" ref="E26:E30" si="9">IF(ISNONTEXT($C26),"index","")</f>
        <v>index</v>
      </c>
      <c r="I26" s="59"/>
      <c r="J26" s="59">
        <f t="shared" ref="J26:O30" ca="1" si="10">IF(AND(J$23=J$4,ISNONTEXT($C26)),1/J17*(1+J$12)^0.5,0)</f>
        <v>1.0275110369962634</v>
      </c>
      <c r="K26" s="59">
        <f t="shared" ca="1" si="10"/>
        <v>1.0088811690196711</v>
      </c>
      <c r="L26" s="59">
        <f t="shared" ca="1" si="10"/>
        <v>0.99092265633770504</v>
      </c>
      <c r="M26" s="59">
        <f t="shared" ca="1" si="10"/>
        <v>0.97772962530456164</v>
      </c>
      <c r="N26" s="59">
        <f t="shared" ca="1" si="10"/>
        <v>0.95695482860927372</v>
      </c>
      <c r="O26" s="59">
        <f t="shared" ca="1" si="10"/>
        <v>0.92572035534896169</v>
      </c>
      <c r="P26" s="60"/>
      <c r="Q26" s="60"/>
    </row>
    <row r="27" spans="3:20" ht="11.25" customHeight="1" outlineLevel="1">
      <c r="C27" s="58">
        <v>43800</v>
      </c>
      <c r="D27" s="55" t="str">
        <f t="shared" si="7"/>
        <v>calculated</v>
      </c>
      <c r="E27" s="26" t="str">
        <f t="shared" si="9"/>
        <v>index</v>
      </c>
      <c r="I27" s="59"/>
      <c r="J27" s="59">
        <f t="shared" ca="1" si="10"/>
        <v>1.0464222830759493</v>
      </c>
      <c r="K27" s="59">
        <f t="shared" ca="1" si="10"/>
        <v>1.0274495340936529</v>
      </c>
      <c r="L27" s="59">
        <f t="shared" ca="1" si="10"/>
        <v>1.0091604966383991</v>
      </c>
      <c r="M27" s="59">
        <f t="shared" ca="1" si="10"/>
        <v>0.99572464908317337</v>
      </c>
      <c r="N27" s="59">
        <f t="shared" ca="1" si="10"/>
        <v>0.97456749416649968</v>
      </c>
      <c r="O27" s="59">
        <f t="shared" ca="1" si="10"/>
        <v>0.94275815330016943</v>
      </c>
      <c r="P27" s="60"/>
      <c r="Q27" s="60"/>
    </row>
    <row r="28" spans="3:20" ht="11.25" customHeight="1" outlineLevel="1">
      <c r="C28" s="58">
        <v>44166</v>
      </c>
      <c r="D28" s="55" t="str">
        <f t="shared" si="7"/>
        <v>calculated</v>
      </c>
      <c r="E28" s="26" t="str">
        <f t="shared" si="9"/>
        <v>index</v>
      </c>
      <c r="I28" s="59"/>
      <c r="J28" s="59">
        <f t="shared" ca="1" si="10"/>
        <v>1.0554276383519903</v>
      </c>
      <c r="K28" s="59">
        <f t="shared" ca="1" si="10"/>
        <v>1.0362916127003108</v>
      </c>
      <c r="L28" s="59">
        <f t="shared" ca="1" si="10"/>
        <v>1.0178451824958725</v>
      </c>
      <c r="M28" s="59">
        <f t="shared" ca="1" si="10"/>
        <v>1.0042937080253693</v>
      </c>
      <c r="N28" s="59">
        <f t="shared" ca="1" si="10"/>
        <v>0.98295447776517875</v>
      </c>
      <c r="O28" s="59">
        <f t="shared" ca="1" si="10"/>
        <v>0.95087139041979241</v>
      </c>
      <c r="P28" s="60"/>
      <c r="Q28" s="60"/>
    </row>
    <row r="29" spans="3:20" ht="11.25" customHeight="1" outlineLevel="1">
      <c r="C29" s="58">
        <v>44531</v>
      </c>
      <c r="D29" s="55" t="str">
        <f t="shared" si="7"/>
        <v>calculated</v>
      </c>
      <c r="E29" s="26" t="str">
        <f t="shared" si="9"/>
        <v>index</v>
      </c>
      <c r="I29" s="59"/>
      <c r="J29" s="59">
        <f t="shared" ca="1" si="10"/>
        <v>1.0923495949837576</v>
      </c>
      <c r="K29" s="59">
        <f t="shared" ca="1" si="10"/>
        <v>1.0725441349876081</v>
      </c>
      <c r="L29" s="59">
        <f t="shared" ca="1" si="10"/>
        <v>1.0534523945115131</v>
      </c>
      <c r="M29" s="59">
        <f t="shared" ca="1" si="10"/>
        <v>1.0394268496883727</v>
      </c>
      <c r="N29" s="59">
        <f t="shared" ca="1" si="10"/>
        <v>1.0173411105197625</v>
      </c>
      <c r="O29" s="59">
        <f t="shared" ca="1" si="10"/>
        <v>0.98413566261024565</v>
      </c>
      <c r="P29" s="60"/>
      <c r="Q29" s="60"/>
    </row>
    <row r="30" spans="3:20" ht="11.25" customHeight="1" outlineLevel="1">
      <c r="C30" s="58">
        <v>44896</v>
      </c>
      <c r="D30" s="55" t="str">
        <f t="shared" si="7"/>
        <v>calculated</v>
      </c>
      <c r="E30" s="26" t="str">
        <f t="shared" si="9"/>
        <v>index</v>
      </c>
      <c r="I30" s="59"/>
      <c r="J30" s="59">
        <f t="shared" ca="1" si="10"/>
        <v>1.1278509568207298</v>
      </c>
      <c r="K30" s="59">
        <f t="shared" ca="1" si="10"/>
        <v>1.1074018193747053</v>
      </c>
      <c r="L30" s="59">
        <f t="shared" ca="1" si="10"/>
        <v>1.0876895973331371</v>
      </c>
      <c r="M30" s="59">
        <f t="shared" ca="1" si="10"/>
        <v>1.0732082223032449</v>
      </c>
      <c r="N30" s="59">
        <f t="shared" ca="1" si="10"/>
        <v>1.0504046966116547</v>
      </c>
      <c r="O30" s="59">
        <f t="shared" ca="1" si="10"/>
        <v>1.0161200716450787</v>
      </c>
      <c r="P30" s="60"/>
      <c r="Q30" s="60"/>
    </row>
    <row r="31" spans="3:20" ht="11.25">
      <c r="C31" s="54"/>
      <c r="K31" s="59"/>
      <c r="L31" s="59"/>
      <c r="M31" s="59"/>
      <c r="N31" s="59"/>
      <c r="O31" s="59"/>
      <c r="P31" s="57"/>
      <c r="Q31" s="59"/>
      <c r="R31" s="59"/>
      <c r="S31" s="59"/>
      <c r="T31" s="59"/>
    </row>
  </sheetData>
  <mergeCells count="2">
    <mergeCell ref="K3:M3"/>
    <mergeCell ref="O3:T3"/>
  </mergeCells>
  <conditionalFormatting sqref="W1">
    <cfRule type="cellIs" dxfId="5" priority="40" operator="equal">
      <formula>"Check"</formula>
    </cfRule>
    <cfRule type="cellIs" dxfId="4" priority="41" operator="equal">
      <formula>"Ok"</formula>
    </cfRule>
  </conditionalFormatting>
  <conditionalFormatting sqref="T1">
    <cfRule type="cellIs" dxfId="3" priority="38" operator="equal">
      <formula>"Check"</formula>
    </cfRule>
    <cfRule type="cellIs" dxfId="2" priority="39" operator="equal">
      <formula>"Ok"</formula>
    </cfRule>
  </conditionalFormatting>
  <conditionalFormatting sqref="J25:O30">
    <cfRule type="cellIs" dxfId="1" priority="13" operator="equal">
      <formula>0</formula>
    </cfRule>
  </conditionalFormatting>
  <conditionalFormatting sqref="J16:O21">
    <cfRule type="cellIs" dxfId="0" priority="12" operator="equal">
      <formula>0</formula>
    </cfRule>
  </conditionalFormatting>
  <hyperlinks>
    <hyperlink ref="K1" location="Index!A1" display="Back to Index" xr:uid="{00000000-0004-0000-0300-000000000000}"/>
    <hyperlink ref="V1" location="'Check|List'!A1" display="Overall Check:" xr:uid="{00000000-0004-0000-0300-000001000000}"/>
  </hyperlinks>
  <pageMargins left="0.7" right="0.7" top="0.75" bottom="0.75" header="0.3" footer="0.3"/>
  <pageSetup paperSize="9" orientation="portrait" verticalDpi="4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11"/>
  <sheetViews>
    <sheetView workbookViewId="0">
      <selection activeCell="A12" sqref="A12:XFD14"/>
    </sheetView>
  </sheetViews>
  <sheetFormatPr defaultRowHeight="15"/>
  <cols>
    <col min="1" max="1" width="37.85546875" bestFit="1" customWidth="1"/>
    <col min="2" max="2" width="10.85546875" bestFit="1" customWidth="1"/>
    <col min="3" max="7" width="13.42578125" bestFit="1" customWidth="1"/>
    <col min="9" max="9" width="10.7109375" bestFit="1" customWidth="1"/>
    <col min="10" max="10" width="11.140625" bestFit="1" customWidth="1"/>
  </cols>
  <sheetData>
    <row r="1" spans="1:10" ht="45.75" thickBot="1">
      <c r="B1" s="3" t="s">
        <v>2</v>
      </c>
      <c r="C1" s="3">
        <v>2018</v>
      </c>
      <c r="D1" s="3">
        <v>2019</v>
      </c>
      <c r="E1" s="3">
        <v>2020</v>
      </c>
      <c r="F1" s="3">
        <v>2021</v>
      </c>
      <c r="G1" s="3">
        <v>2022</v>
      </c>
      <c r="H1" s="3"/>
      <c r="I1" s="61" t="s">
        <v>44</v>
      </c>
      <c r="J1" s="61" t="s">
        <v>45</v>
      </c>
    </row>
    <row r="2" spans="1:10">
      <c r="A2" t="s">
        <v>46</v>
      </c>
      <c r="B2" t="s">
        <v>47</v>
      </c>
      <c r="C2" s="1">
        <v>74.382760567144913</v>
      </c>
      <c r="D2" s="1">
        <v>75.307405037606188</v>
      </c>
      <c r="E2" s="1">
        <v>76.302839350512414</v>
      </c>
      <c r="F2" s="1">
        <v>77.412424156016442</v>
      </c>
      <c r="G2" s="1">
        <v>78.603583259865886</v>
      </c>
      <c r="I2" s="1">
        <f>G2*(1+I3)/2</f>
        <v>39.75448268524211</v>
      </c>
      <c r="J2" s="62">
        <f ca="1">I2*'Input|Rate of change'!$O$16</f>
        <v>44.415172694788261</v>
      </c>
    </row>
    <row r="3" spans="1:10" ht="15.75" thickBot="1">
      <c r="A3" t="s">
        <v>48</v>
      </c>
      <c r="B3" t="s">
        <v>47</v>
      </c>
      <c r="C3" s="2">
        <v>1.177774371162954E-2</v>
      </c>
      <c r="D3" s="2">
        <v>1.2430897474241975E-2</v>
      </c>
      <c r="E3" s="2">
        <v>1.3218279296825175E-2</v>
      </c>
      <c r="F3" s="2">
        <v>1.454185473238967E-2</v>
      </c>
      <c r="G3" s="2">
        <v>1.5387182572254687E-2</v>
      </c>
      <c r="I3" s="2">
        <f>(1+G3)^(9/12)-1</f>
        <v>1.1518331265193194E-2</v>
      </c>
      <c r="J3" s="83"/>
    </row>
    <row r="6" spans="1:10">
      <c r="A6" t="s">
        <v>49</v>
      </c>
      <c r="B6" t="s">
        <v>50</v>
      </c>
      <c r="C6" s="86">
        <v>72.078993127144912</v>
      </c>
      <c r="D6" s="86">
        <v>72.988939637606194</v>
      </c>
      <c r="E6" s="86">
        <v>73.97054467051241</v>
      </c>
      <c r="F6" s="86">
        <v>75.06520747601644</v>
      </c>
      <c r="G6" s="86">
        <v>76.241314379865884</v>
      </c>
    </row>
    <row r="7" spans="1:10">
      <c r="A7" t="s">
        <v>8</v>
      </c>
      <c r="B7" t="s">
        <v>50</v>
      </c>
      <c r="C7" s="1">
        <v>2.3037674400000006</v>
      </c>
      <c r="D7" s="1">
        <v>2.3184654</v>
      </c>
      <c r="E7" s="1">
        <v>2.3322946800000004</v>
      </c>
      <c r="F7" s="1">
        <v>2.3472166800000003</v>
      </c>
      <c r="G7" s="1">
        <v>2.3622688800000002</v>
      </c>
    </row>
    <row r="8" spans="1:10">
      <c r="A8" t="s">
        <v>14</v>
      </c>
      <c r="B8" t="s">
        <v>50</v>
      </c>
      <c r="C8" s="1">
        <v>0.60097158683835572</v>
      </c>
      <c r="D8" s="1">
        <v>0.61255766387284882</v>
      </c>
      <c r="E8" s="1">
        <v>0.61843236155169534</v>
      </c>
      <c r="F8" s="1">
        <v>0.62269859427439378</v>
      </c>
      <c r="G8" s="1">
        <v>0.62440139999394861</v>
      </c>
    </row>
    <row r="9" spans="1:10">
      <c r="A9" t="s">
        <v>51</v>
      </c>
      <c r="B9" t="s">
        <v>29</v>
      </c>
      <c r="C9" s="1">
        <f>SUM(C6:C8)</f>
        <v>74.983732153983269</v>
      </c>
      <c r="D9" s="1">
        <f t="shared" ref="D9:G9" si="0">SUM(D6:D8)</f>
        <v>75.919962701479037</v>
      </c>
      <c r="E9" s="1">
        <f t="shared" si="0"/>
        <v>76.921271712064112</v>
      </c>
      <c r="F9" s="1">
        <f t="shared" si="0"/>
        <v>78.035122750290839</v>
      </c>
      <c r="G9" s="1">
        <f t="shared" si="0"/>
        <v>79.227984659859828</v>
      </c>
    </row>
    <row r="11" spans="1:10">
      <c r="D11" s="82"/>
      <c r="E11" s="82"/>
      <c r="F11" s="82"/>
      <c r="G11" s="82"/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03A451F03F4704FB5FAE1A60B1EDF9F" ma:contentTypeVersion="6" ma:contentTypeDescription="Create a new document." ma:contentTypeScope="" ma:versionID="cc8cb1fc46207191a236b05aee77f067">
  <xsd:schema xmlns:xsd="http://www.w3.org/2001/XMLSchema" xmlns:xs="http://www.w3.org/2001/XMLSchema" xmlns:p="http://schemas.microsoft.com/office/2006/metadata/properties" xmlns:ns2="4aa22311-0aa6-49bf-b937-287b6bed8a21" xmlns:ns3="73f80207-cc3a-4a49-82a7-36995251de47" targetNamespace="http://schemas.microsoft.com/office/2006/metadata/properties" ma:root="true" ma:fieldsID="93b15b804ab2ec9c62fab3b3ceed095a" ns2:_="" ns3:_="">
    <xsd:import namespace="4aa22311-0aa6-49bf-b937-287b6bed8a21"/>
    <xsd:import namespace="73f80207-cc3a-4a49-82a7-36995251de4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aa22311-0aa6-49bf-b937-287b6bed8a2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3f80207-cc3a-4a49-82a7-36995251de47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755F893D-0E87-4EB6-A2D3-1EDC40F235AC}"/>
</file>

<file path=customXml/itemProps2.xml><?xml version="1.0" encoding="utf-8"?>
<ds:datastoreItem xmlns:ds="http://schemas.openxmlformats.org/officeDocument/2006/customXml" ds:itemID="{D82D61F7-1552-4A14-BDA7-F1297C28B819}"/>
</file>

<file path=customXml/itemProps3.xml><?xml version="1.0" encoding="utf-8"?>
<ds:datastoreItem xmlns:ds="http://schemas.openxmlformats.org/officeDocument/2006/customXml" ds:itemID="{3398730E-2FA4-46FB-8A04-8B5BCE2BAF6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Will Chivell</cp:lastModifiedBy>
  <cp:revision/>
  <dcterms:created xsi:type="dcterms:W3CDTF">2022-02-23T01:56:52Z</dcterms:created>
  <dcterms:modified xsi:type="dcterms:W3CDTF">2022-03-31T04:09:42Z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0x010100103A451F03F4704FB5FAE1A60B1EDF9F</vt:lpwstr>
  </property>
</Properties>
</file>