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agig365.sharepoint.com/sites/VictorianAccessArrangement2023-28/Shared Documents/1 Apr AA Variation Proposals/"/>
    </mc:Choice>
  </mc:AlternateContent>
  <xr:revisionPtr revIDLastSave="19" documentId="8_{C8CFF9D7-EA9C-4C0B-B7C5-16F10DC88BD2}" xr6:coauthVersionLast="47" xr6:coauthVersionMax="47" xr10:uidLastSave="{64912C06-6E65-47A6-BD10-23A4F37785AB}"/>
  <bookViews>
    <workbookView xWindow="6375" yWindow="2310" windowWidth="21600" windowHeight="11385" firstSheet="1" activeTab="1" xr2:uid="{00000000-000D-0000-FFFF-FFFF00000000}"/>
  </bookViews>
  <sheets>
    <sheet name="Sheet1" sheetId="1" state="hidden" r:id="rId1"/>
    <sheet name="Cover" sheetId="9" r:id="rId2"/>
    <sheet name="Input|Inflation" sheetId="7" r:id="rId3"/>
    <sheet name="Input|Rate of change" sheetId="4" r:id="rId4"/>
    <sheet name="Calc|MGN" sheetId="3" r:id="rId5"/>
    <sheet name="Output|MGN" sheetId="6" r:id="rId6"/>
  </sheets>
  <definedNames>
    <definedName name="anscount">1</definedName>
    <definedName name="Nominal_to_Real">'Input|Rate of change'!$C$25:$C$30</definedName>
    <definedName name="Real_to_Nominal">'Input|Rate of change'!$C$16:$C$21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6" l="1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O10" i="4"/>
  <c r="J10" i="4"/>
  <c r="K10" i="4"/>
  <c r="L10" i="4"/>
  <c r="M10" i="4"/>
  <c r="N10" i="4"/>
  <c r="F72" i="7" l="1"/>
  <c r="G72" i="7" s="1"/>
  <c r="F70" i="7"/>
  <c r="F71" i="7" s="1"/>
  <c r="G71" i="7" s="1"/>
  <c r="F69" i="7"/>
  <c r="G69" i="7" s="1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E29" i="7"/>
  <c r="G28" i="7"/>
  <c r="E28" i="7"/>
  <c r="G27" i="7"/>
  <c r="E27" i="7"/>
  <c r="G26" i="7"/>
  <c r="E26" i="7"/>
  <c r="G25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T1" i="7"/>
  <c r="J4" i="4"/>
  <c r="J14" i="4" s="1"/>
  <c r="T1" i="4"/>
  <c r="G70" i="7" l="1"/>
  <c r="K4" i="4"/>
  <c r="J23" i="4"/>
  <c r="K14" i="4" l="1"/>
  <c r="K23" i="4"/>
  <c r="L4" i="4"/>
  <c r="L23" i="4" l="1"/>
  <c r="M4" i="4"/>
  <c r="L14" i="4"/>
  <c r="M23" i="4" l="1"/>
  <c r="N4" i="4"/>
  <c r="M14" i="4"/>
  <c r="N23" i="4" l="1"/>
  <c r="O4" i="4"/>
  <c r="N14" i="4"/>
  <c r="P4" i="4" l="1"/>
  <c r="Q4" i="4" s="1"/>
  <c r="R4" i="4" s="1"/>
  <c r="S4" i="4" s="1"/>
  <c r="T4" i="4" s="1"/>
  <c r="O14" i="4"/>
  <c r="O23" i="4"/>
  <c r="C16" i="4" a="1"/>
  <c r="C20" i="3"/>
  <c r="D12" i="1"/>
  <c r="C12" i="1"/>
  <c r="D11" i="1"/>
  <c r="D10" i="1"/>
  <c r="C10" i="1"/>
  <c r="D9" i="1"/>
  <c r="C9" i="1"/>
  <c r="D8" i="1"/>
  <c r="C8" i="1"/>
  <c r="D7" i="1"/>
  <c r="D6" i="1"/>
  <c r="C6" i="1"/>
  <c r="D5" i="1"/>
  <c r="D4" i="1"/>
  <c r="C4" i="1"/>
  <c r="D3" i="1"/>
  <c r="C3" i="1"/>
  <c r="C18" i="4" l="1"/>
  <c r="C17" i="4"/>
  <c r="C16" i="4"/>
  <c r="C19" i="4"/>
  <c r="C21" i="4"/>
  <c r="C20" i="4"/>
  <c r="C25" i="4" a="1"/>
  <c r="C30" i="4" l="1"/>
  <c r="C29" i="4"/>
  <c r="C28" i="4"/>
  <c r="C27" i="4"/>
  <c r="C26" i="4"/>
  <c r="C25" i="4"/>
  <c r="E20" i="4"/>
  <c r="D20" i="4"/>
  <c r="E19" i="4"/>
  <c r="D19" i="4"/>
  <c r="E21" i="4"/>
  <c r="D21" i="4"/>
  <c r="J16" i="4"/>
  <c r="K16" i="4" s="1"/>
  <c r="L16" i="4" s="1"/>
  <c r="M16" i="4" s="1"/>
  <c r="N16" i="4" s="1"/>
  <c r="O16" i="4" s="1"/>
  <c r="E16" i="4"/>
  <c r="D16" i="4"/>
  <c r="E17" i="4"/>
  <c r="D17" i="4"/>
  <c r="E18" i="4"/>
  <c r="D18" i="4"/>
  <c r="G2" i="3" l="1"/>
  <c r="D8" i="3" s="1"/>
  <c r="E25" i="4"/>
  <c r="D25" i="4"/>
  <c r="J25" i="4"/>
  <c r="K25" i="4"/>
  <c r="L25" i="4"/>
  <c r="M25" i="4"/>
  <c r="N25" i="4"/>
  <c r="O25" i="4"/>
  <c r="D26" i="4"/>
  <c r="E26" i="4"/>
  <c r="D27" i="4"/>
  <c r="E27" i="4"/>
  <c r="D28" i="4"/>
  <c r="E28" i="4"/>
  <c r="D29" i="4"/>
  <c r="E29" i="4"/>
  <c r="E30" i="4"/>
  <c r="D30" i="4"/>
  <c r="D7" i="3" l="1"/>
  <c r="D13" i="3"/>
  <c r="D10" i="3"/>
  <c r="D18" i="3"/>
  <c r="D5" i="3"/>
  <c r="D15" i="3"/>
  <c r="D3" i="3"/>
  <c r="D14" i="3"/>
  <c r="D4" i="3"/>
  <c r="D9" i="3"/>
  <c r="D16" i="3"/>
  <c r="D19" i="3"/>
  <c r="C45" i="6" s="1"/>
  <c r="D12" i="3"/>
  <c r="D6" i="3"/>
  <c r="D17" i="3"/>
  <c r="D11" i="3"/>
  <c r="C5" i="6" l="1"/>
  <c r="D20" i="3"/>
  <c r="K17" i="4" l="1"/>
  <c r="J17" i="4" s="1"/>
  <c r="J26" i="4" s="1"/>
  <c r="L18" i="4"/>
  <c r="L27" i="4" s="1"/>
  <c r="M19" i="4"/>
  <c r="N19" i="4" s="1"/>
  <c r="N20" i="4"/>
  <c r="N29" i="4" s="1"/>
  <c r="O20" i="4"/>
  <c r="O29" i="4"/>
  <c r="O21" i="4"/>
  <c r="N21" i="4" s="1"/>
  <c r="N30" i="4" s="1"/>
  <c r="M20" i="4" l="1"/>
  <c r="L20" i="4" s="1"/>
  <c r="K26" i="4"/>
  <c r="O30" i="4"/>
  <c r="M18" i="4"/>
  <c r="N18" i="4" s="1"/>
  <c r="N27" i="4" s="1"/>
  <c r="L17" i="4"/>
  <c r="L26" i="4" s="1"/>
  <c r="N28" i="4"/>
  <c r="O19" i="4"/>
  <c r="O28" i="4" s="1"/>
  <c r="K20" i="4"/>
  <c r="L29" i="4"/>
  <c r="O18" i="4"/>
  <c r="O27" i="4" s="1"/>
  <c r="M21" i="4"/>
  <c r="K18" i="4"/>
  <c r="M17" i="4"/>
  <c r="L19" i="4"/>
  <c r="M29" i="4"/>
  <c r="M28" i="4"/>
  <c r="M27" i="4"/>
  <c r="K29" i="4" l="1"/>
  <c r="J20" i="4"/>
  <c r="J29" i="4" s="1"/>
  <c r="L21" i="4"/>
  <c r="M30" i="4"/>
  <c r="J18" i="4"/>
  <c r="J27" i="4" s="1"/>
  <c r="K27" i="4"/>
  <c r="K19" i="4"/>
  <c r="L28" i="4"/>
  <c r="M26" i="4"/>
  <c r="N17" i="4"/>
  <c r="K21" i="4" l="1"/>
  <c r="L30" i="4"/>
  <c r="K28" i="4"/>
  <c r="J19" i="4"/>
  <c r="J28" i="4" s="1"/>
  <c r="O17" i="4"/>
  <c r="O26" i="4" s="1"/>
  <c r="N26" i="4"/>
  <c r="J21" i="4" l="1"/>
  <c r="J30" i="4" s="1"/>
  <c r="K30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Dunne, Stephen</author>
  </authors>
  <commentList>
    <comment ref="J12" authorId="0" shapeId="0" xr:uid="{9A9F2784-3DC9-446B-9E38-E7FF9EBB8F18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lagged actual June CPI consistent with RFM.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kyap</author>
  </authors>
  <commentList>
    <comment ref="A1" authorId="0" shapeId="0" xr:uid="{00000000-0006-0000-0200-000001000000}">
      <text>
        <r>
          <rPr>
            <sz val="8"/>
            <color indexed="81"/>
            <rFont val="Tahoma"/>
            <family val="2"/>
          </rPr>
          <t>Exclude half year rate of return. Inputs are assumed to be in end of year terms.</t>
        </r>
      </text>
    </comment>
  </commentList>
</comments>
</file>

<file path=xl/sharedStrings.xml><?xml version="1.0" encoding="utf-8"?>
<sst xmlns="http://schemas.openxmlformats.org/spreadsheetml/2006/main" count="202" uniqueCount="72">
  <si>
    <t>Vic Capex</t>
  </si>
  <si>
    <t>Alb Capex</t>
  </si>
  <si>
    <t>Index to $2022</t>
  </si>
  <si>
    <t>Vic/Alb Opex (ex DRC)</t>
  </si>
  <si>
    <t>Vic/Alb Opex (ex DRC and ARS)</t>
  </si>
  <si>
    <t>2023 (half)</t>
  </si>
  <si>
    <t>Vic/Alb trend output growth</t>
  </si>
  <si>
    <t>Vic/Albury trend input cost esc</t>
  </si>
  <si>
    <t>MGN Capex</t>
  </si>
  <si>
    <t>MGN Opex ex DRC and ARS</t>
  </si>
  <si>
    <t>MGN trend input cost</t>
  </si>
  <si>
    <t>MGN trend output growth</t>
  </si>
  <si>
    <t>Year</t>
  </si>
  <si>
    <t>Buildings</t>
  </si>
  <si>
    <t>SCADA</t>
  </si>
  <si>
    <t>Land</t>
  </si>
  <si>
    <t>Equity raising costs</t>
  </si>
  <si>
    <t>2022 ($2017)</t>
  </si>
  <si>
    <t>Forecast Capital Expenditure – As Incurred</t>
  </si>
  <si>
    <t>H1 2023 ($2022)</t>
  </si>
  <si>
    <t>Transmission and distribution</t>
  </si>
  <si>
    <t>Pipeworks Mains (New)</t>
  </si>
  <si>
    <t>LP Mains - Residual (New)</t>
  </si>
  <si>
    <t>Services</t>
  </si>
  <si>
    <t>Pipeworks Services (New)</t>
  </si>
  <si>
    <t>LP Services - Residual (New)</t>
  </si>
  <si>
    <t>Cathodic Protection</t>
  </si>
  <si>
    <t>Supply Regs/Valve stations</t>
  </si>
  <si>
    <t>Meters to 2017</t>
  </si>
  <si>
    <t>Meters from 2018 (New)</t>
  </si>
  <si>
    <t>IT</t>
  </si>
  <si>
    <t>Other</t>
  </si>
  <si>
    <t>Total net capex</t>
  </si>
  <si>
    <t>Benchmark</t>
  </si>
  <si>
    <t>AER opex model</t>
  </si>
  <si>
    <t>Back to Index</t>
  </si>
  <si>
    <t>Key:</t>
  </si>
  <si>
    <t>Input</t>
  </si>
  <si>
    <t>External Link</t>
  </si>
  <si>
    <t>Internal Link</t>
  </si>
  <si>
    <t>Worksheet check:</t>
  </si>
  <si>
    <t>Overall Check:</t>
  </si>
  <si>
    <t>Ok</t>
  </si>
  <si>
    <t>Input | Rate of change</t>
  </si>
  <si>
    <t>Year ending</t>
  </si>
  <si>
    <t>Source</t>
  </si>
  <si>
    <t>Unit</t>
  </si>
  <si>
    <t>Basis</t>
  </si>
  <si>
    <t>Input | Inflation</t>
  </si>
  <si>
    <t>Inflation</t>
  </si>
  <si>
    <t>calculated</t>
  </si>
  <si>
    <t>Per cent</t>
  </si>
  <si>
    <t>CPI indexes (real to real)</t>
  </si>
  <si>
    <t>CPI indexes (nominal to real)</t>
  </si>
  <si>
    <t>Total contributions included in the above (Transmission and Distribution)</t>
  </si>
  <si>
    <t>Input | General</t>
  </si>
  <si>
    <t>Input | General inputs</t>
  </si>
  <si>
    <t>Index value, new base</t>
  </si>
  <si>
    <t>Percentage Change from Corresponding Quarter of Previous Year</t>
  </si>
  <si>
    <t>ABS</t>
  </si>
  <si>
    <t>Calculated</t>
  </si>
  <si>
    <t>index</t>
  </si>
  <si>
    <t>Percent</t>
  </si>
  <si>
    <t xml:space="preserve">Interpolated </t>
  </si>
  <si>
    <t>RBA statement of monetary policy inflation forecast, February 2022, Appendix</t>
  </si>
  <si>
    <t>https://www.rba.gov.au/publications/smp/2022/feb/forecasts.html</t>
  </si>
  <si>
    <t>End</t>
  </si>
  <si>
    <t>Forecast Capital Expenditure – As Incurred ($m Real 2022)</t>
  </si>
  <si>
    <t>HY 2023</t>
  </si>
  <si>
    <t>Forecast Asset Disposal – as incurred ($m Real 2022)</t>
  </si>
  <si>
    <t>Forecast Customer Contributions – As Incurred ($m Real 2022)</t>
  </si>
  <si>
    <t>Inputs for Post Tax Revenue Model - Multinet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</si>
</sst>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6" formatCode="&quot;$&quot;#,##0;[Red]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#,##0_ ;\-#,##0\ "/>
    <numFmt numFmtId="166" formatCode="_-* #,##0.000_-;\-* #,##0.000_-;_-* &quot;-&quot;??_-;_-@_-"/>
    <numFmt numFmtId="167" formatCode="_([$€-2]* #,##0.00_);_([$€-2]* \(#,##0.00\);_([$€-2]* &quot;-&quot;??_)"/>
    <numFmt numFmtId="168" formatCode="_-* #,##0.00_-;[Red]\(#,##0.00\)_-;_-* &quot;-&quot;??_-;_-@_-"/>
    <numFmt numFmtId="169" formatCode="mm/dd/yy"/>
    <numFmt numFmtId="170" formatCode="0_);[Red]\(0\)"/>
    <numFmt numFmtId="171" formatCode="_(* #,##0.0_);_(* \(#,##0.0\);_(* &quot;-&quot;?_);_(@_)"/>
    <numFmt numFmtId="172" formatCode="_(* #,##0_);_(* \(#,##0\);_(* &quot;-&quot;?_);_(@_)"/>
    <numFmt numFmtId="173" formatCode="#,##0.0_);\(#,##0.0\)"/>
    <numFmt numFmtId="174" formatCode="#,##0;[Red]\(#,##0.0\)"/>
    <numFmt numFmtId="175" formatCode="#,##0_ ;[Red]\(#,##0\)\ "/>
    <numFmt numFmtId="176" formatCode="#,##0.00;\(#,##0.00\)"/>
    <numFmt numFmtId="177" formatCode="_)d\-mmm\-yy_)"/>
    <numFmt numFmtId="178" formatCode="_(#,##0.0_);\(#,##0.0\);_(&quot;-&quot;_)"/>
    <numFmt numFmtId="179" formatCode="_(###0_);\(###0\);_(###0_)"/>
    <numFmt numFmtId="180" formatCode="#,##0.0000_);[Red]\(#,##0.0000\)"/>
    <numFmt numFmtId="181" formatCode="#,##0.000_ ;[Red]\-#,##0.000\ "/>
    <numFmt numFmtId="182" formatCode="_-* #,##0.0_-;\-* #,##0.0_-;_-* &quot;-&quot;??_-;_-@_-"/>
    <numFmt numFmtId="183" formatCode="_(* #,##0.00_);_(* \(#,##0.00\);_(* &quot;-&quot;??_);_(@_)"/>
    <numFmt numFmtId="184" formatCode="mmm\ yyyy"/>
    <numFmt numFmtId="185" formatCode="_(&quot;$&quot;* #,##0.00_);_(&quot;$&quot;* \(#,##0.00\);_(&quot;$&quot;* &quot;-&quot;??_);_(@_)"/>
    <numFmt numFmtId="186" formatCode="_-* #,##0_-;\-* #,##0_-;_-* &quot;-&quot;??_-;_-@_-"/>
    <numFmt numFmtId="187" formatCode="_-* #,##0.0000_-;\-* #,##0.0000_-;_-* &quot;-&quot;??_-;_-@_-"/>
    <numFmt numFmtId="188" formatCode="_(#,##0.00%_);\(#,##0.00%\);_(&quot;-&quot;_)"/>
    <numFmt numFmtId="189" formatCode="_(#,##0_);\(#,##0\);_(&quot;-&quot;_)"/>
    <numFmt numFmtId="190" formatCode="_(#,##0.000_);\(#,##0.000\);_(&quot;-&quot;_)"/>
    <numFmt numFmtId="191" formatCode="_(#,##0.0000_);\(#,##0.0000\);_(&quot;-&quot;_)"/>
    <numFmt numFmtId="192" formatCode="[$-C09]mmm\-yyyy;@"/>
    <numFmt numFmtId="193" formatCode="0.0"/>
    <numFmt numFmtId="194" formatCode="_-* #,##0.000_-;\-* #,##0.000_-;_-* &quot;-&quot;???_-;_-@_-"/>
  </numFmts>
  <fonts count="83"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b/>
      <sz val="12"/>
      <color theme="0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b/>
      <sz val="16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0"/>
      <name val="Helv"/>
      <charset val="204"/>
    </font>
    <font>
      <sz val="14"/>
      <name val="System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u/>
      <sz val="8.5"/>
      <color indexed="12"/>
      <name val="Arial"/>
      <family val="2"/>
    </font>
    <font>
      <b/>
      <sz val="9"/>
      <color indexed="9"/>
      <name val="Arial"/>
      <family val="2"/>
    </font>
    <font>
      <u/>
      <sz val="10"/>
      <color theme="10"/>
      <name val="Arial"/>
      <family val="2"/>
    </font>
    <font>
      <sz val="8"/>
      <color indexed="81"/>
      <name val="Tahoma"/>
      <family val="2"/>
    </font>
    <font>
      <b/>
      <sz val="12"/>
      <color theme="1"/>
      <name val="Arial"/>
      <family val="2"/>
    </font>
    <font>
      <u/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u/>
      <sz val="8"/>
      <color theme="10"/>
      <name val="Arial"/>
      <family val="2"/>
    </font>
    <font>
      <i/>
      <sz val="10"/>
      <color theme="1"/>
      <name val="Arial"/>
      <family val="2"/>
    </font>
    <font>
      <b/>
      <i/>
      <sz val="8"/>
      <color theme="1"/>
      <name val="Arial"/>
      <family val="2"/>
    </font>
    <font>
      <b/>
      <i/>
      <sz val="8"/>
      <name val="Arial"/>
      <family val="2"/>
    </font>
    <font>
      <i/>
      <sz val="8"/>
      <color indexed="8"/>
      <name val="Arial"/>
      <family val="2"/>
    </font>
    <font>
      <b/>
      <sz val="8"/>
      <color indexed="8"/>
      <name val="Arial"/>
      <family val="2"/>
    </font>
    <font>
      <b/>
      <i/>
      <sz val="8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mediumGray">
        <fgColor indexed="22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00B0F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23"/>
      </bottom>
      <diagonal/>
    </border>
    <border>
      <left/>
      <right style="thin">
        <color indexed="23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85">
    <xf numFmtId="0" fontId="0" fillId="0" borderId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6" fillId="7" borderId="5">
      <alignment vertical="center"/>
    </xf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26" fillId="25" borderId="0" applyNumberFormat="0" applyBorder="0" applyAlignment="0" applyProtection="0"/>
    <xf numFmtId="0" fontId="26" fillId="2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" fillId="0" borderId="0"/>
    <xf numFmtId="0" fontId="23" fillId="0" borderId="0"/>
    <xf numFmtId="0" fontId="23" fillId="0" borderId="0"/>
    <xf numFmtId="167" fontId="3" fillId="0" borderId="0"/>
    <xf numFmtId="0" fontId="3" fillId="0" borderId="0"/>
    <xf numFmtId="0" fontId="3" fillId="0" borderId="0"/>
    <xf numFmtId="0" fontId="3" fillId="0" borderId="0"/>
    <xf numFmtId="0" fontId="3" fillId="0" borderId="0" applyFill="0"/>
    <xf numFmtId="0" fontId="22" fillId="7" borderId="0">
      <alignment vertical="center"/>
      <protection locked="0"/>
    </xf>
    <xf numFmtId="0" fontId="21" fillId="9" borderId="0">
      <alignment horizontal="left" vertical="center"/>
      <protection locked="0"/>
    </xf>
    <xf numFmtId="0" fontId="1" fillId="0" borderId="0"/>
    <xf numFmtId="0" fontId="3" fillId="0" borderId="0"/>
    <xf numFmtId="0" fontId="21" fillId="1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13" borderId="0" applyFont="0" applyBorder="0">
      <alignment horizontal="right"/>
      <protection locked="0"/>
    </xf>
    <xf numFmtId="41" fontId="3" fillId="12" borderId="0" applyFont="0" applyBorder="0" applyAlignment="0">
      <alignment horizontal="right"/>
      <protection locked="0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6" fillId="19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24" borderId="0" applyNumberFormat="0" applyBorder="0" applyAlignment="0" applyProtection="0"/>
    <xf numFmtId="0" fontId="25" fillId="23" borderId="0" applyNumberFormat="0" applyBorder="0" applyAlignment="0" applyProtection="0"/>
    <xf numFmtId="0" fontId="3" fillId="0" borderId="0"/>
    <xf numFmtId="0" fontId="25" fillId="21" borderId="0" applyNumberFormat="0" applyBorder="0" applyAlignment="0" applyProtection="0"/>
    <xf numFmtId="0" fontId="25" fillId="18" borderId="0" applyNumberFormat="0" applyBorder="0" applyAlignment="0" applyProtection="0"/>
    <xf numFmtId="0" fontId="25" fillId="24" borderId="0" applyNumberFormat="0" applyBorder="0" applyAlignment="0" applyProtection="0"/>
    <xf numFmtId="0" fontId="24" fillId="0" borderId="0"/>
    <xf numFmtId="0" fontId="26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4" fillId="0" borderId="0"/>
    <xf numFmtId="0" fontId="25" fillId="18" borderId="0" applyNumberFormat="0" applyBorder="0" applyAlignment="0" applyProtection="0"/>
    <xf numFmtId="0" fontId="3" fillId="0" borderId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19" borderId="0" applyNumberFormat="0" applyBorder="0" applyAlignment="0" applyProtection="0"/>
    <xf numFmtId="168" fontId="15" fillId="0" borderId="0"/>
    <xf numFmtId="0" fontId="3" fillId="0" borderId="0"/>
    <xf numFmtId="168" fontId="15" fillId="0" borderId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7" fillId="0" borderId="0"/>
    <xf numFmtId="42" fontId="19" fillId="0" borderId="0" applyFont="0" applyFill="0" applyBorder="0" applyAlignment="0" applyProtection="0"/>
    <xf numFmtId="0" fontId="28" fillId="37" borderId="0" applyNumberFormat="0" applyBorder="0" applyAlignment="0" applyProtection="0"/>
    <xf numFmtId="0" fontId="29" fillId="0" borderId="0" applyNumberFormat="0" applyFill="0" applyBorder="0" applyAlignment="0"/>
    <xf numFmtId="41" fontId="3" fillId="15" borderId="0" applyNumberFormat="0" applyFont="0" applyBorder="0" applyAlignment="0">
      <alignment horizontal="right"/>
    </xf>
    <xf numFmtId="41" fontId="3" fillId="15" borderId="0" applyNumberFormat="0" applyFont="0" applyBorder="0" applyAlignment="0">
      <alignment horizontal="right"/>
    </xf>
    <xf numFmtId="0" fontId="30" fillId="0" borderId="0" applyNumberFormat="0" applyFill="0" applyBorder="0" applyAlignment="0">
      <protection locked="0"/>
    </xf>
    <xf numFmtId="0" fontId="31" fillId="21" borderId="12" applyNumberFormat="0" applyAlignment="0" applyProtection="0"/>
    <xf numFmtId="0" fontId="32" fillId="38" borderId="13" applyNumberFormat="0" applyAlignment="0" applyProtection="0"/>
    <xf numFmtId="41" fontId="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167" fontId="2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7" fillId="0" borderId="0"/>
    <xf numFmtId="0" fontId="38" fillId="0" borderId="0"/>
    <xf numFmtId="0" fontId="39" fillId="42" borderId="0" applyNumberFormat="0" applyBorder="0" applyAlignment="0" applyProtection="0"/>
    <xf numFmtId="0" fontId="8" fillId="0" borderId="0" applyFill="0" applyBorder="0">
      <alignment vertical="center"/>
    </xf>
    <xf numFmtId="0" fontId="40" fillId="0" borderId="14" applyNumberFormat="0" applyFill="0" applyAlignment="0" applyProtection="0"/>
    <xf numFmtId="0" fontId="8" fillId="0" borderId="0" applyFill="0" applyBorder="0">
      <alignment vertical="center"/>
    </xf>
    <xf numFmtId="0" fontId="14" fillId="0" borderId="0" applyFill="0" applyBorder="0">
      <alignment vertical="center"/>
    </xf>
    <xf numFmtId="0" fontId="41" fillId="0" borderId="15" applyNumberFormat="0" applyFill="0" applyAlignment="0" applyProtection="0"/>
    <xf numFmtId="0" fontId="14" fillId="0" borderId="0" applyFill="0" applyBorder="0">
      <alignment vertical="center"/>
    </xf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15" fillId="0" borderId="0" applyFill="0" applyBorder="0">
      <alignment vertical="center"/>
    </xf>
    <xf numFmtId="0" fontId="42" fillId="0" borderId="0" applyNumberFormat="0" applyFill="0" applyBorder="0" applyAlignment="0" applyProtection="0"/>
    <xf numFmtId="0" fontId="15" fillId="0" borderId="0" applyFill="0" applyBorder="0">
      <alignment vertical="center"/>
    </xf>
    <xf numFmtId="164" fontId="43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Fill="0" applyBorder="0">
      <alignment horizontal="center" vertical="center"/>
      <protection locked="0"/>
    </xf>
    <xf numFmtId="0" fontId="46" fillId="0" borderId="0" applyFill="0" applyBorder="0">
      <alignment horizontal="left" vertical="center"/>
      <protection locked="0"/>
    </xf>
    <xf numFmtId="171" fontId="3" fillId="13" borderId="0" applyFont="0" applyBorder="0">
      <alignment horizontal="right"/>
    </xf>
    <xf numFmtId="0" fontId="47" fillId="19" borderId="12" applyNumberFormat="0" applyAlignment="0" applyProtection="0"/>
    <xf numFmtId="41" fontId="3" fillId="16" borderId="0" applyFont="0" applyBorder="0" applyAlignment="0">
      <alignment horizontal="right"/>
      <protection locked="0"/>
    </xf>
    <xf numFmtId="41" fontId="3" fillId="12" borderId="0" applyFont="0" applyBorder="0" applyAlignment="0">
      <alignment horizontal="right"/>
      <protection locked="0"/>
    </xf>
    <xf numFmtId="172" fontId="3" fillId="43" borderId="0" applyFont="0" applyBorder="0">
      <alignment horizontal="right"/>
      <protection locked="0"/>
    </xf>
    <xf numFmtId="172" fontId="3" fillId="43" borderId="0" applyFont="0" applyBorder="0">
      <alignment horizontal="right"/>
      <protection locked="0"/>
    </xf>
    <xf numFmtId="41" fontId="3" fillId="13" borderId="0" applyFont="0" applyBorder="0">
      <alignment horizontal="right"/>
      <protection locked="0"/>
    </xf>
    <xf numFmtId="0" fontId="15" fillId="15" borderId="0"/>
    <xf numFmtId="0" fontId="48" fillId="0" borderId="17" applyNumberFormat="0" applyFill="0" applyAlignment="0" applyProtection="0"/>
    <xf numFmtId="173" fontId="49" fillId="0" borderId="0"/>
    <xf numFmtId="0" fontId="13" fillId="0" borderId="0" applyFill="0" applyBorder="0">
      <alignment horizontal="left" vertical="center"/>
    </xf>
    <xf numFmtId="0" fontId="50" fillId="22" borderId="0" applyNumberFormat="0" applyBorder="0" applyAlignment="0" applyProtection="0"/>
    <xf numFmtId="165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19" fillId="0" borderId="0"/>
    <xf numFmtId="0" fontId="3" fillId="6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20" borderId="18" applyNumberFormat="0" applyFont="0" applyAlignment="0" applyProtection="0"/>
    <xf numFmtId="0" fontId="52" fillId="21" borderId="19" applyNumberFormat="0" applyAlignment="0" applyProtection="0"/>
    <xf numFmtId="174" fontId="3" fillId="0" borderId="0" applyFill="0" applyBorder="0"/>
    <xf numFmtId="174" fontId="3" fillId="0" borderId="0" applyFill="0" applyBorder="0"/>
    <xf numFmtId="174" fontId="3" fillId="0" borderId="0" applyFill="0" applyBorder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53" fillId="0" borderId="0"/>
    <xf numFmtId="0" fontId="16" fillId="0" borderId="0" applyFill="0" applyBorder="0">
      <alignment vertical="center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175" fontId="54" fillId="0" borderId="11"/>
    <xf numFmtId="0" fontId="55" fillId="0" borderId="4">
      <alignment horizontal="center"/>
    </xf>
    <xf numFmtId="3" fontId="33" fillId="0" borderId="0" applyFont="0" applyFill="0" applyBorder="0" applyAlignment="0" applyProtection="0"/>
    <xf numFmtId="0" fontId="33" fillId="44" borderId="0" applyNumberFormat="0" applyFont="0" applyBorder="0" applyAlignment="0" applyProtection="0"/>
    <xf numFmtId="176" fontId="3" fillId="0" borderId="0"/>
    <xf numFmtId="176" fontId="3" fillId="0" borderId="0"/>
    <xf numFmtId="176" fontId="3" fillId="0" borderId="0"/>
    <xf numFmtId="177" fontId="15" fillId="0" borderId="0" applyFill="0" applyBorder="0">
      <alignment horizontal="right" vertical="center"/>
    </xf>
    <xf numFmtId="178" fontId="15" fillId="0" borderId="0" applyFill="0" applyBorder="0">
      <alignment horizontal="right" vertical="center"/>
    </xf>
    <xf numFmtId="179" fontId="15" fillId="0" borderId="0" applyFill="0" applyBorder="0">
      <alignment horizontal="right" vertical="center"/>
    </xf>
    <xf numFmtId="0" fontId="3" fillId="20" borderId="0" applyNumberFormat="0" applyFont="0" applyBorder="0" applyAlignment="0" applyProtection="0"/>
    <xf numFmtId="0" fontId="3" fillId="20" borderId="0" applyNumberFormat="0" applyFont="0" applyBorder="0" applyAlignment="0" applyProtection="0"/>
    <xf numFmtId="0" fontId="3" fillId="21" borderId="0" applyNumberFormat="0" applyFont="0" applyBorder="0" applyAlignment="0" applyProtection="0"/>
    <xf numFmtId="0" fontId="3" fillId="21" borderId="0" applyNumberFormat="0" applyFont="0" applyBorder="0" applyAlignment="0" applyProtection="0"/>
    <xf numFmtId="0" fontId="3" fillId="23" borderId="0" applyNumberFormat="0" applyFont="0" applyBorder="0" applyAlignment="0" applyProtection="0"/>
    <xf numFmtId="0" fontId="3" fillId="23" borderId="0" applyNumberFormat="0" applyFont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23" borderId="0" applyNumberFormat="0" applyFont="0" applyBorder="0" applyAlignment="0" applyProtection="0"/>
    <xf numFmtId="0" fontId="3" fillId="23" borderId="0" applyNumberFormat="0" applyFont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Border="0" applyAlignment="0" applyProtection="0"/>
    <xf numFmtId="0" fontId="3" fillId="0" borderId="0" applyNumberFormat="0" applyFont="0" applyBorder="0" applyAlignment="0" applyProtection="0"/>
    <xf numFmtId="0" fontId="5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" fillId="0" borderId="0"/>
    <xf numFmtId="0" fontId="18" fillId="0" borderId="0"/>
    <xf numFmtId="15" fontId="3" fillId="0" borderId="0"/>
    <xf numFmtId="15" fontId="3" fillId="0" borderId="0"/>
    <xf numFmtId="15" fontId="3" fillId="0" borderId="0"/>
    <xf numFmtId="10" fontId="3" fillId="0" borderId="0"/>
    <xf numFmtId="10" fontId="3" fillId="0" borderId="0"/>
    <xf numFmtId="10" fontId="3" fillId="0" borderId="0"/>
    <xf numFmtId="0" fontId="57" fillId="17" borderId="8" applyBorder="0" applyProtection="0">
      <alignment horizontal="centerContinuous" vertical="center"/>
    </xf>
    <xf numFmtId="0" fontId="58" fillId="0" borderId="0" applyBorder="0" applyProtection="0">
      <alignment vertical="center"/>
    </xf>
    <xf numFmtId="0" fontId="59" fillId="0" borderId="0">
      <alignment horizontal="left"/>
    </xf>
    <xf numFmtId="0" fontId="59" fillId="0" borderId="10" applyFill="0" applyBorder="0" applyProtection="0">
      <alignment horizontal="left" vertical="top"/>
    </xf>
    <xf numFmtId="49" fontId="3" fillId="0" borderId="0" applyFont="0" applyFill="0" applyBorder="0" applyAlignment="0" applyProtection="0"/>
    <xf numFmtId="0" fontId="60" fillId="0" borderId="0"/>
    <xf numFmtId="49" fontId="3" fillId="0" borderId="0" applyFont="0" applyFill="0" applyBorder="0" applyAlignment="0" applyProtection="0"/>
    <xf numFmtId="0" fontId="61" fillId="0" borderId="0"/>
    <xf numFmtId="0" fontId="61" fillId="0" borderId="0"/>
    <xf numFmtId="0" fontId="60" fillId="0" borderId="0"/>
    <xf numFmtId="173" fontId="62" fillId="0" borderId="0"/>
    <xf numFmtId="0" fontId="56" fillId="0" borderId="0" applyNumberFormat="0" applyFill="0" applyBorder="0" applyAlignment="0" applyProtection="0"/>
    <xf numFmtId="0" fontId="63" fillId="0" borderId="0" applyFill="0" applyBorder="0">
      <alignment horizontal="left" vertical="center"/>
      <protection locked="0"/>
    </xf>
    <xf numFmtId="0" fontId="60" fillId="0" borderId="0"/>
    <xf numFmtId="0" fontId="64" fillId="0" borderId="0" applyFill="0" applyBorder="0">
      <alignment horizontal="left" vertical="center"/>
      <protection locked="0"/>
    </xf>
    <xf numFmtId="0" fontId="17" fillId="0" borderId="20" applyNumberFormat="0" applyFill="0" applyAlignment="0" applyProtection="0"/>
    <xf numFmtId="0" fontId="65" fillId="0" borderId="0" applyNumberFormat="0" applyFill="0" applyBorder="0" applyAlignment="0" applyProtection="0"/>
    <xf numFmtId="180" fontId="3" fillId="0" borderId="8" applyBorder="0" applyProtection="0">
      <alignment horizontal="right"/>
    </xf>
    <xf numFmtId="180" fontId="3" fillId="0" borderId="8" applyBorder="0" applyProtection="0">
      <alignment horizontal="right"/>
    </xf>
    <xf numFmtId="180" fontId="3" fillId="0" borderId="8" applyBorder="0" applyProtection="0">
      <alignment horizontal="right"/>
    </xf>
    <xf numFmtId="0" fontId="1" fillId="0" borderId="0"/>
    <xf numFmtId="0" fontId="3" fillId="0" borderId="0"/>
    <xf numFmtId="44" fontId="3" fillId="0" borderId="0" applyFont="0" applyFill="0" applyBorder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57" fillId="17" borderId="8" applyBorder="0" applyProtection="0">
      <alignment horizontal="centerContinuous" vertical="center"/>
    </xf>
    <xf numFmtId="180" fontId="3" fillId="0" borderId="8" applyBorder="0" applyProtection="0">
      <alignment horizontal="right"/>
    </xf>
    <xf numFmtId="180" fontId="3" fillId="0" borderId="8" applyBorder="0" applyProtection="0">
      <alignment horizontal="right"/>
    </xf>
    <xf numFmtId="167" fontId="3" fillId="0" borderId="0"/>
    <xf numFmtId="0" fontId="1" fillId="0" borderId="0">
      <protection locked="0"/>
    </xf>
    <xf numFmtId="181" fontId="3" fillId="11" borderId="9" applyFill="0">
      <alignment horizontal="right" vertical="center" wrapText="1"/>
      <protection locked="0"/>
    </xf>
    <xf numFmtId="181" fontId="10" fillId="8" borderId="6">
      <alignment horizontal="right" vertical="center" wrapText="1"/>
    </xf>
    <xf numFmtId="0" fontId="1" fillId="0" borderId="0"/>
    <xf numFmtId="0" fontId="11" fillId="0" borderId="0"/>
    <xf numFmtId="9" fontId="1" fillId="0" borderId="0" applyFont="0" applyFill="0" applyBorder="0" applyAlignment="0" applyProtection="0"/>
    <xf numFmtId="0" fontId="32" fillId="38" borderId="13" applyNumberFormat="0" applyAlignment="0" applyProtection="0"/>
    <xf numFmtId="0" fontId="1" fillId="0" borderId="0"/>
    <xf numFmtId="0" fontId="1" fillId="0" borderId="0"/>
    <xf numFmtId="0" fontId="3" fillId="0" borderId="0" applyFill="0"/>
    <xf numFmtId="0" fontId="1" fillId="0" borderId="0"/>
    <xf numFmtId="0" fontId="66" fillId="0" borderId="0" applyNumberFormat="0" applyFill="0" applyBorder="0" applyAlignment="0" applyProtection="0">
      <alignment vertical="top"/>
      <protection locked="0"/>
    </xf>
    <xf numFmtId="171" fontId="3" fillId="13" borderId="0" applyFont="0" applyBorder="0">
      <alignment horizontal="right"/>
    </xf>
    <xf numFmtId="164" fontId="3" fillId="13" borderId="0" applyFont="0" applyBorder="0" applyAlignment="0"/>
    <xf numFmtId="41" fontId="3" fillId="12" borderId="0" applyFont="0" applyBorder="0" applyAlignment="0">
      <alignment horizontal="right"/>
      <protection locked="0"/>
    </xf>
    <xf numFmtId="10" fontId="3" fillId="12" borderId="0" applyFont="0" applyBorder="0">
      <alignment horizontal="right"/>
      <protection locked="0"/>
    </xf>
    <xf numFmtId="3" fontId="3" fillId="45" borderId="0" applyFont="0" applyBorder="0">
      <protection locked="0"/>
    </xf>
    <xf numFmtId="164" fontId="14" fillId="45" borderId="0" applyBorder="0" applyAlignment="0">
      <protection locked="0"/>
    </xf>
    <xf numFmtId="164" fontId="67" fillId="46" borderId="0" applyBorder="0" applyAlignment="0"/>
    <xf numFmtId="171" fontId="12" fillId="15" borderId="7" applyFont="0" applyBorder="0" applyAlignment="0"/>
    <xf numFmtId="164" fontId="14" fillId="15" borderId="0" applyFont="0" applyBorder="0" applyAlignment="0"/>
    <xf numFmtId="0" fontId="1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41" fontId="3" fillId="15" borderId="0" applyNumberFormat="0" applyFont="0" applyBorder="0" applyAlignment="0">
      <alignment horizontal="right"/>
    </xf>
    <xf numFmtId="0" fontId="31" fillId="21" borderId="12" applyNumberFormat="0" applyAlignment="0" applyProtection="0"/>
    <xf numFmtId="0" fontId="31" fillId="21" borderId="12" applyNumberFormat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47" fillId="19" borderId="12" applyNumberFormat="0" applyAlignment="0" applyProtection="0"/>
    <xf numFmtId="0" fontId="47" fillId="19" borderId="12" applyNumberFormat="0" applyAlignment="0" applyProtection="0"/>
    <xf numFmtId="41" fontId="3" fillId="16" borderId="0" applyFont="0" applyBorder="0" applyAlignment="0">
      <alignment horizontal="right"/>
      <protection locked="0"/>
    </xf>
    <xf numFmtId="41" fontId="3" fillId="16" borderId="0" applyFont="0" applyBorder="0" applyAlignment="0">
      <alignment horizontal="right"/>
      <protection locked="0"/>
    </xf>
    <xf numFmtId="41" fontId="3" fillId="16" borderId="0" applyFont="0" applyBorder="0" applyAlignment="0">
      <alignment horizontal="right"/>
      <protection locked="0"/>
    </xf>
    <xf numFmtId="41" fontId="3" fillId="12" borderId="0" applyFont="0" applyBorder="0" applyAlignment="0">
      <alignment horizontal="right"/>
      <protection locked="0"/>
    </xf>
    <xf numFmtId="172" fontId="3" fillId="43" borderId="0" applyFont="0" applyBorder="0">
      <alignment horizontal="right"/>
      <protection locked="0"/>
    </xf>
    <xf numFmtId="41" fontId="3" fillId="13" borderId="0" applyFont="0" applyBorder="0">
      <alignment horizontal="right"/>
      <protection locked="0"/>
    </xf>
    <xf numFmtId="181" fontId="1" fillId="11" borderId="6">
      <protection locked="0"/>
    </xf>
    <xf numFmtId="181" fontId="1" fillId="11" borderId="6">
      <protection locked="0"/>
    </xf>
    <xf numFmtId="49" fontId="1" fillId="11" borderId="6" applyFont="0" applyAlignment="0">
      <alignment horizontal="left" vertical="center" wrapText="1"/>
      <protection locked="0"/>
    </xf>
    <xf numFmtId="49" fontId="1" fillId="11" borderId="6" applyFont="0" applyAlignment="0">
      <alignment horizontal="left" vertical="center" wrapText="1"/>
      <protection locked="0"/>
    </xf>
    <xf numFmtId="49" fontId="1" fillId="11" borderId="6" applyFont="0" applyAlignment="0">
      <alignment horizontal="left" vertical="center" wrapText="1"/>
      <protection locked="0"/>
    </xf>
    <xf numFmtId="181" fontId="1" fillId="8" borderId="6"/>
    <xf numFmtId="181" fontId="1" fillId="8" borderId="6"/>
    <xf numFmtId="0" fontId="3" fillId="0" borderId="0"/>
    <xf numFmtId="0" fontId="3" fillId="0" borderId="0"/>
    <xf numFmtId="0" fontId="3" fillId="6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6" borderId="0"/>
    <xf numFmtId="0" fontId="3" fillId="6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3" fillId="0" borderId="0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6" borderId="0"/>
    <xf numFmtId="0" fontId="3" fillId="0" borderId="0"/>
    <xf numFmtId="0" fontId="3" fillId="6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6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20" borderId="18" applyNumberFormat="0" applyFont="0" applyAlignment="0" applyProtection="0"/>
    <xf numFmtId="0" fontId="3" fillId="20" borderId="18" applyNumberFormat="0" applyFont="0" applyAlignment="0" applyProtection="0"/>
    <xf numFmtId="0" fontId="3" fillId="20" borderId="18" applyNumberFormat="0" applyFont="0" applyAlignment="0" applyProtection="0"/>
    <xf numFmtId="0" fontId="3" fillId="20" borderId="18" applyNumberFormat="0" applyFont="0" applyAlignment="0" applyProtection="0"/>
    <xf numFmtId="0" fontId="3" fillId="20" borderId="18" applyNumberFormat="0" applyFont="0" applyAlignment="0" applyProtection="0"/>
    <xf numFmtId="0" fontId="3" fillId="20" borderId="18" applyNumberFormat="0" applyFont="0" applyAlignment="0" applyProtection="0"/>
    <xf numFmtId="0" fontId="3" fillId="20" borderId="18" applyNumberFormat="0" applyFont="0" applyAlignment="0" applyProtection="0"/>
    <xf numFmtId="0" fontId="3" fillId="20" borderId="18" applyNumberFormat="0" applyFont="0" applyAlignment="0" applyProtection="0"/>
    <xf numFmtId="0" fontId="52" fillId="21" borderId="19" applyNumberFormat="0" applyAlignment="0" applyProtection="0"/>
    <xf numFmtId="0" fontId="52" fillId="21" borderId="19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0" borderId="4">
      <alignment horizontal="center"/>
    </xf>
    <xf numFmtId="0" fontId="55" fillId="0" borderId="4">
      <alignment horizontal="center"/>
    </xf>
    <xf numFmtId="0" fontId="55" fillId="0" borderId="4">
      <alignment horizontal="center"/>
    </xf>
    <xf numFmtId="0" fontId="55" fillId="0" borderId="4">
      <alignment horizontal="center"/>
    </xf>
    <xf numFmtId="0" fontId="55" fillId="0" borderId="4">
      <alignment horizontal="center"/>
    </xf>
    <xf numFmtId="0" fontId="55" fillId="0" borderId="4">
      <alignment horizontal="center"/>
    </xf>
    <xf numFmtId="181" fontId="9" fillId="11" borderId="21">
      <alignment horizontal="right" indent="2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20" applyNumberFormat="0" applyFill="0" applyAlignment="0" applyProtection="0"/>
    <xf numFmtId="0" fontId="17" fillId="0" borderId="20" applyNumberFormat="0" applyFill="0" applyAlignment="0" applyProtection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4" fillId="0" borderId="0" applyNumberFormat="0" applyFill="0" applyBorder="0" applyAlignment="0" applyProtection="0"/>
    <xf numFmtId="18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9" fontId="15" fillId="0" borderId="24">
      <alignment horizontal="right" vertical="center"/>
      <protection locked="0"/>
    </xf>
  </cellStyleXfs>
  <cellXfs count="86">
    <xf numFmtId="0" fontId="0" fillId="0" borderId="0" xfId="0"/>
    <xf numFmtId="6" fontId="0" fillId="0" borderId="0" xfId="0" applyNumberFormat="1"/>
    <xf numFmtId="0" fontId="2" fillId="2" borderId="0" xfId="1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5" fillId="0" borderId="0" xfId="2" applyFont="1"/>
    <xf numFmtId="0" fontId="4" fillId="6" borderId="2" xfId="2" quotePrefix="1" applyFont="1" applyFill="1" applyBorder="1" applyAlignment="1">
      <alignment horizontal="right" vertical="center"/>
    </xf>
    <xf numFmtId="43" fontId="0" fillId="0" borderId="0" xfId="0" applyNumberFormat="1"/>
    <xf numFmtId="0" fontId="0" fillId="0" borderId="0" xfId="0"/>
    <xf numFmtId="0" fontId="8" fillId="6" borderId="0" xfId="0" applyFont="1" applyFill="1" applyAlignment="1">
      <alignment vertical="center"/>
    </xf>
    <xf numFmtId="166" fontId="3" fillId="14" borderId="0" xfId="323" applyNumberFormat="1" applyFont="1" applyFill="1" applyBorder="1" applyAlignment="1">
      <alignment horizontal="right" vertical="center"/>
    </xf>
    <xf numFmtId="43" fontId="3" fillId="6" borderId="0" xfId="323" applyFont="1" applyFill="1" applyBorder="1" applyAlignment="1">
      <alignment horizontal="center" vertical="center"/>
    </xf>
    <xf numFmtId="166" fontId="3" fillId="6" borderId="0" xfId="323" applyNumberFormat="1" applyFont="1" applyFill="1" applyBorder="1" applyAlignment="1">
      <alignment horizontal="center" vertical="center"/>
    </xf>
    <xf numFmtId="0" fontId="0" fillId="0" borderId="0" xfId="0"/>
    <xf numFmtId="0" fontId="8" fillId="5" borderId="1" xfId="0" applyFont="1" applyFill="1" applyBorder="1" applyAlignment="1">
      <alignment vertical="center"/>
    </xf>
    <xf numFmtId="0" fontId="5" fillId="6" borderId="0" xfId="2" applyFont="1" applyFill="1" applyAlignment="1">
      <alignment horizontal="left" vertical="center"/>
    </xf>
    <xf numFmtId="0" fontId="5" fillId="6" borderId="3" xfId="2" applyFont="1" applyFill="1" applyBorder="1" applyAlignment="1">
      <alignment horizontal="left" vertical="center"/>
    </xf>
    <xf numFmtId="0" fontId="2" fillId="2" borderId="0" xfId="580" applyFill="1"/>
    <xf numFmtId="0" fontId="70" fillId="2" borderId="0" xfId="580" applyFont="1" applyFill="1" applyAlignment="1">
      <alignment horizontal="left" vertical="center"/>
    </xf>
    <xf numFmtId="0" fontId="70" fillId="2" borderId="0" xfId="580" applyFont="1" applyFill="1" applyAlignment="1">
      <alignment horizontal="left" indent="9"/>
    </xf>
    <xf numFmtId="0" fontId="71" fillId="2" borderId="0" xfId="580" applyFont="1" applyFill="1"/>
    <xf numFmtId="0" fontId="2" fillId="2" borderId="0" xfId="580" applyFill="1" applyAlignment="1">
      <alignment horizontal="right"/>
    </xf>
    <xf numFmtId="0" fontId="72" fillId="47" borderId="0" xfId="580" applyFont="1" applyFill="1" applyAlignment="1">
      <alignment horizontal="center"/>
    </xf>
    <xf numFmtId="0" fontId="72" fillId="48" borderId="0" xfId="580" applyFont="1" applyFill="1"/>
    <xf numFmtId="0" fontId="72" fillId="43" borderId="0" xfId="580" applyFont="1" applyFill="1"/>
    <xf numFmtId="183" fontId="73" fillId="2" borderId="0" xfId="580" applyNumberFormat="1" applyFont="1" applyFill="1" applyAlignment="1">
      <alignment horizontal="center"/>
    </xf>
    <xf numFmtId="0" fontId="74" fillId="2" borderId="0" xfId="581" applyFill="1" applyBorder="1" applyAlignment="1" applyProtection="1">
      <alignment horizontal="right"/>
    </xf>
    <xf numFmtId="0" fontId="2" fillId="2" borderId="22" xfId="580" applyFill="1" applyBorder="1"/>
    <xf numFmtId="0" fontId="75" fillId="2" borderId="22" xfId="580" applyFont="1" applyFill="1" applyBorder="1" applyAlignment="1">
      <alignment horizontal="left"/>
    </xf>
    <xf numFmtId="0" fontId="75" fillId="2" borderId="22" xfId="580" applyFont="1" applyFill="1" applyBorder="1" applyAlignment="1">
      <alignment horizontal="left" indent="9"/>
    </xf>
    <xf numFmtId="0" fontId="73" fillId="2" borderId="23" xfId="580" applyFont="1" applyFill="1" applyBorder="1"/>
    <xf numFmtId="0" fontId="76" fillId="2" borderId="23" xfId="580" applyFont="1" applyFill="1" applyBorder="1" applyAlignment="1">
      <alignment horizontal="center"/>
    </xf>
    <xf numFmtId="184" fontId="76" fillId="2" borderId="23" xfId="580" applyNumberFormat="1" applyFont="1" applyFill="1" applyBorder="1" applyAlignment="1">
      <alignment horizontal="left"/>
    </xf>
    <xf numFmtId="0" fontId="76" fillId="2" borderId="23" xfId="580" applyFont="1" applyFill="1" applyBorder="1"/>
    <xf numFmtId="0" fontId="76" fillId="5" borderId="1" xfId="580" applyFont="1" applyFill="1" applyBorder="1"/>
    <xf numFmtId="0" fontId="76" fillId="5" borderId="1" xfId="580" applyFont="1" applyFill="1" applyBorder="1" applyAlignment="1">
      <alignment horizontal="center"/>
    </xf>
    <xf numFmtId="0" fontId="77" fillId="5" borderId="1" xfId="580" applyFont="1" applyFill="1" applyBorder="1" applyAlignment="1">
      <alignment horizontal="center" vertical="center"/>
    </xf>
    <xf numFmtId="0" fontId="77" fillId="5" borderId="1" xfId="580" applyFont="1" applyFill="1" applyBorder="1" applyAlignment="1">
      <alignment vertical="center"/>
    </xf>
    <xf numFmtId="184" fontId="76" fillId="5" borderId="1" xfId="580" applyNumberFormat="1" applyFont="1" applyFill="1" applyBorder="1" applyAlignment="1">
      <alignment horizontal="center" wrapText="1"/>
    </xf>
    <xf numFmtId="0" fontId="76" fillId="5" borderId="1" xfId="580" applyFont="1" applyFill="1" applyBorder="1" applyAlignment="1">
      <alignment wrapText="1"/>
    </xf>
    <xf numFmtId="185" fontId="77" fillId="5" borderId="1" xfId="580" applyNumberFormat="1" applyFont="1" applyFill="1" applyBorder="1" applyAlignment="1">
      <alignment horizontal="center" wrapText="1"/>
    </xf>
    <xf numFmtId="0" fontId="76" fillId="0" borderId="0" xfId="580" applyFont="1"/>
    <xf numFmtId="186" fontId="72" fillId="6" borderId="0" xfId="580" applyNumberFormat="1" applyFont="1" applyFill="1"/>
    <xf numFmtId="186" fontId="78" fillId="6" borderId="0" xfId="580" applyNumberFormat="1" applyFont="1" applyFill="1" applyAlignment="1">
      <alignment horizontal="center"/>
    </xf>
    <xf numFmtId="0" fontId="2" fillId="5" borderId="1" xfId="580" applyFill="1" applyBorder="1"/>
    <xf numFmtId="0" fontId="73" fillId="5" borderId="1" xfId="580" applyFont="1" applyFill="1" applyBorder="1"/>
    <xf numFmtId="0" fontId="8" fillId="5" borderId="1" xfId="580" applyFont="1" applyFill="1" applyBorder="1" applyAlignment="1">
      <alignment vertical="center"/>
    </xf>
    <xf numFmtId="0" fontId="2" fillId="5" borderId="1" xfId="580" applyFill="1" applyBorder="1" applyAlignment="1">
      <alignment wrapText="1"/>
    </xf>
    <xf numFmtId="185" fontId="8" fillId="5" borderId="1" xfId="580" applyNumberFormat="1" applyFont="1" applyFill="1" applyBorder="1" applyAlignment="1">
      <alignment horizontal="center" wrapText="1"/>
    </xf>
    <xf numFmtId="0" fontId="2" fillId="0" borderId="0" xfId="580"/>
    <xf numFmtId="186" fontId="72" fillId="0" borderId="0" xfId="580" applyNumberFormat="1" applyFont="1"/>
    <xf numFmtId="186" fontId="78" fillId="0" borderId="0" xfId="580" applyNumberFormat="1" applyFont="1" applyAlignment="1">
      <alignment horizontal="center"/>
    </xf>
    <xf numFmtId="166" fontId="72" fillId="0" borderId="0" xfId="580" applyNumberFormat="1" applyFont="1"/>
    <xf numFmtId="187" fontId="72" fillId="0" borderId="0" xfId="580" applyNumberFormat="1" applyFont="1"/>
    <xf numFmtId="10" fontId="72" fillId="0" borderId="0" xfId="518" applyNumberFormat="1" applyFont="1" applyProtection="1"/>
    <xf numFmtId="186" fontId="79" fillId="0" borderId="0" xfId="580" applyNumberFormat="1" applyFont="1"/>
    <xf numFmtId="184" fontId="79" fillId="0" borderId="8" xfId="580" applyNumberFormat="1" applyFont="1" applyBorder="1" applyAlignment="1">
      <alignment horizontal="center"/>
    </xf>
    <xf numFmtId="186" fontId="79" fillId="0" borderId="0" xfId="580" applyNumberFormat="1" applyFont="1" applyAlignment="1">
      <alignment horizontal="center"/>
    </xf>
    <xf numFmtId="186" fontId="72" fillId="0" borderId="0" xfId="580" applyNumberFormat="1" applyFont="1" applyAlignment="1">
      <alignment horizontal="left" indent="1"/>
    </xf>
    <xf numFmtId="186" fontId="78" fillId="0" borderId="0" xfId="582" applyNumberFormat="1" applyFont="1" applyAlignment="1" applyProtection="1">
      <alignment horizontal="center"/>
    </xf>
    <xf numFmtId="188" fontId="15" fillId="0" borderId="0" xfId="583" applyNumberFormat="1" applyFont="1" applyFill="1" applyBorder="1" applyAlignment="1" applyProtection="1">
      <alignment horizontal="center" vertical="center"/>
    </xf>
    <xf numFmtId="184" fontId="72" fillId="0" borderId="0" xfId="580" applyNumberFormat="1" applyFont="1" applyAlignment="1">
      <alignment horizontal="left" indent="1"/>
    </xf>
    <xf numFmtId="190" fontId="15" fillId="0" borderId="0" xfId="584" applyNumberFormat="1" applyBorder="1" applyAlignment="1" applyProtection="1">
      <alignment horizontal="center" vertical="center"/>
    </xf>
    <xf numFmtId="191" fontId="15" fillId="0" borderId="0" xfId="584" applyNumberFormat="1" applyBorder="1" applyAlignment="1" applyProtection="1">
      <alignment horizontal="center" vertical="center"/>
    </xf>
    <xf numFmtId="186" fontId="80" fillId="0" borderId="0" xfId="580" applyNumberFormat="1" applyFont="1" applyAlignment="1">
      <alignment horizontal="center" wrapText="1"/>
    </xf>
    <xf numFmtId="186" fontId="78" fillId="0" borderId="0" xfId="580" applyNumberFormat="1" applyFont="1" applyAlignment="1">
      <alignment horizontal="center" wrapText="1"/>
    </xf>
    <xf numFmtId="192" fontId="72" fillId="0" borderId="0" xfId="580" applyNumberFormat="1" applyFont="1" applyAlignment="1">
      <alignment horizontal="left"/>
    </xf>
    <xf numFmtId="193" fontId="72" fillId="49" borderId="25" xfId="580" applyNumberFormat="1" applyFont="1" applyFill="1" applyBorder="1" applyAlignment="1" applyProtection="1">
      <alignment horizontal="center"/>
      <protection locked="0"/>
    </xf>
    <xf numFmtId="183" fontId="16" fillId="0" borderId="25" xfId="580" applyNumberFormat="1" applyFont="1" applyBorder="1" applyAlignment="1">
      <alignment horizontal="center"/>
    </xf>
    <xf numFmtId="182" fontId="72" fillId="0" borderId="0" xfId="580" applyNumberFormat="1" applyFont="1"/>
    <xf numFmtId="10" fontId="72" fillId="0" borderId="0" xfId="583" applyNumberFormat="1" applyFont="1" applyAlignment="1" applyProtection="1">
      <alignment horizontal="center"/>
    </xf>
    <xf numFmtId="182" fontId="72" fillId="0" borderId="0" xfId="580" applyNumberFormat="1" applyFont="1" applyProtection="1">
      <protection locked="0"/>
    </xf>
    <xf numFmtId="182" fontId="79" fillId="0" borderId="0" xfId="580" applyNumberFormat="1" applyFont="1" applyProtection="1">
      <protection locked="0"/>
    </xf>
    <xf numFmtId="0" fontId="74" fillId="0" borderId="0" xfId="581"/>
    <xf numFmtId="183" fontId="16" fillId="0" borderId="0" xfId="580" applyNumberFormat="1" applyFont="1" applyAlignment="1">
      <alignment horizontal="center"/>
    </xf>
    <xf numFmtId="0" fontId="0" fillId="5" borderId="1" xfId="0" applyFill="1" applyBorder="1"/>
    <xf numFmtId="0" fontId="73" fillId="5" borderId="1" xfId="0" applyFont="1" applyFill="1" applyBorder="1"/>
    <xf numFmtId="0" fontId="8" fillId="6" borderId="2" xfId="0" quotePrefix="1" applyFont="1" applyFill="1" applyBorder="1" applyAlignment="1">
      <alignment horizontal="right" vertical="center"/>
    </xf>
    <xf numFmtId="0" fontId="8" fillId="5" borderId="26" xfId="0" applyFont="1" applyFill="1" applyBorder="1" applyAlignment="1">
      <alignment vertical="center"/>
    </xf>
    <xf numFmtId="10" fontId="72" fillId="50" borderId="0" xfId="583" applyNumberFormat="1" applyFont="1" applyFill="1" applyBorder="1" applyAlignment="1" applyProtection="1">
      <alignment horizontal="center"/>
    </xf>
    <xf numFmtId="194" fontId="0" fillId="0" borderId="0" xfId="0" applyNumberFormat="1"/>
    <xf numFmtId="182" fontId="0" fillId="0" borderId="0" xfId="0" applyNumberFormat="1"/>
    <xf numFmtId="0" fontId="76" fillId="2" borderId="23" xfId="580" applyFont="1" applyFill="1" applyBorder="1" applyAlignment="1">
      <alignment horizontal="center"/>
    </xf>
    <xf numFmtId="0" fontId="3" fillId="6" borderId="0" xfId="0" applyFont="1" applyFill="1" applyAlignment="1">
      <alignment horizontal="left" vertical="center"/>
    </xf>
    <xf numFmtId="0" fontId="3" fillId="6" borderId="3" xfId="0" applyFont="1" applyFill="1" applyBorder="1" applyAlignment="1">
      <alignment horizontal="left" vertical="center"/>
    </xf>
    <xf numFmtId="0" fontId="5" fillId="6" borderId="0" xfId="2" applyFont="1" applyFill="1" applyAlignment="1">
      <alignment horizontal="left" vertical="center"/>
    </xf>
    <xf numFmtId="0" fontId="5" fillId="6" borderId="3" xfId="2" applyFont="1" applyFill="1" applyBorder="1" applyAlignment="1">
      <alignment horizontal="left" vertical="center"/>
    </xf>
  </cellXfs>
  <cellStyles count="585">
    <cellStyle name=" 1" xfId="36" xr:uid="{00000000-0005-0000-0000-000000000000}"/>
    <cellStyle name=" 1 2" xfId="35" xr:uid="{00000000-0005-0000-0000-000001000000}"/>
    <cellStyle name=" 1 2 2" xfId="34" xr:uid="{00000000-0005-0000-0000-000002000000}"/>
    <cellStyle name=" 1 2 3" xfId="290" xr:uid="{00000000-0005-0000-0000-000003000000}"/>
    <cellStyle name=" 1 3" xfId="33" xr:uid="{00000000-0005-0000-0000-000004000000}"/>
    <cellStyle name=" 1 3 2" xfId="32" xr:uid="{00000000-0005-0000-0000-000005000000}"/>
    <cellStyle name=" 1 4" xfId="31" xr:uid="{00000000-0005-0000-0000-000006000000}"/>
    <cellStyle name=" 1_29(d) - Gas extensions -tariffs" xfId="30" xr:uid="{00000000-0005-0000-0000-000007000000}"/>
    <cellStyle name="_3GIS model v2.77_Distribution Business_Retail Fin Perform " xfId="29" xr:uid="{00000000-0005-0000-0000-000008000000}"/>
    <cellStyle name="_3GIS model v2.77_Fleet Overhead Costs 2_Retail Fin Perform " xfId="28" xr:uid="{00000000-0005-0000-0000-000009000000}"/>
    <cellStyle name="_3GIS model v2.77_Fleet Overhead Costs_Retail Fin Perform " xfId="27" xr:uid="{00000000-0005-0000-0000-00000A000000}"/>
    <cellStyle name="_3GIS model v2.77_Forecast 2_Retail Fin Perform " xfId="26" xr:uid="{00000000-0005-0000-0000-00000B000000}"/>
    <cellStyle name="_3GIS model v2.77_Forecast_Retail Fin Perform " xfId="25" xr:uid="{00000000-0005-0000-0000-00000C000000}"/>
    <cellStyle name="_3GIS model v2.77_Funding &amp; Cashflow_1_Retail Fin Perform " xfId="24" xr:uid="{00000000-0005-0000-0000-00000D000000}"/>
    <cellStyle name="_3GIS model v2.77_Funding &amp; Cashflow_Retail Fin Perform " xfId="23" xr:uid="{00000000-0005-0000-0000-00000E000000}"/>
    <cellStyle name="_3GIS model v2.77_Group P&amp;L_1_Retail Fin Perform " xfId="22" xr:uid="{00000000-0005-0000-0000-00000F000000}"/>
    <cellStyle name="_3GIS model v2.77_Group P&amp;L_Retail Fin Perform " xfId="21" xr:uid="{00000000-0005-0000-0000-000010000000}"/>
    <cellStyle name="_3GIS model v2.77_Opening  Detailed BS_Retail Fin Perform " xfId="20" xr:uid="{00000000-0005-0000-0000-000011000000}"/>
    <cellStyle name="_3GIS model v2.77_OUTPUT DB_Retail Fin Perform " xfId="19" xr:uid="{00000000-0005-0000-0000-000012000000}"/>
    <cellStyle name="_3GIS model v2.77_OUTPUT EB_Retail Fin Perform " xfId="18" xr:uid="{00000000-0005-0000-0000-000013000000}"/>
    <cellStyle name="_3GIS model v2.77_Report_Retail Fin Perform " xfId="17" xr:uid="{00000000-0005-0000-0000-000014000000}"/>
    <cellStyle name="_3GIS model v2.77_Retail Fin Perform " xfId="16" xr:uid="{00000000-0005-0000-0000-000015000000}"/>
    <cellStyle name="_3GIS model v2.77_Sheet2 2_Retail Fin Perform " xfId="67" xr:uid="{00000000-0005-0000-0000-000016000000}"/>
    <cellStyle name="_3GIS model v2.77_Sheet2_Retail Fin Perform " xfId="62" xr:uid="{00000000-0005-0000-0000-000017000000}"/>
    <cellStyle name="_Capex" xfId="69" xr:uid="{00000000-0005-0000-0000-000018000000}"/>
    <cellStyle name="_Capex 2" xfId="74" xr:uid="{00000000-0005-0000-0000-000019000000}"/>
    <cellStyle name="_Capex_29(d) - Gas extensions -tariffs" xfId="58" xr:uid="{00000000-0005-0000-0000-00001A000000}"/>
    <cellStyle name="_UED AMP 2009-14 Final 250309 Less PU" xfId="75" xr:uid="{00000000-0005-0000-0000-00001B000000}"/>
    <cellStyle name="_UED AMP 2009-14 Final 250309 Less PU_1011 monthly" xfId="73" xr:uid="{00000000-0005-0000-0000-00001C000000}"/>
    <cellStyle name="20% - Accent1 2" xfId="53" xr:uid="{00000000-0005-0000-0000-00001D000000}"/>
    <cellStyle name="20% - Accent1 3" xfId="317" xr:uid="{00000000-0005-0000-0000-00001E000000}"/>
    <cellStyle name="20% - Accent2 2" xfId="65" xr:uid="{00000000-0005-0000-0000-00001F000000}"/>
    <cellStyle name="20% - Accent3 2" xfId="66" xr:uid="{00000000-0005-0000-0000-000020000000}"/>
    <cellStyle name="20% - Accent4 2" xfId="59" xr:uid="{00000000-0005-0000-0000-000021000000}"/>
    <cellStyle name="20% - Accent5 2" xfId="68" xr:uid="{00000000-0005-0000-0000-000022000000}"/>
    <cellStyle name="20% - Accent6 2" xfId="54" xr:uid="{00000000-0005-0000-0000-000023000000}"/>
    <cellStyle name="40% - Accent1 2" xfId="60" xr:uid="{00000000-0005-0000-0000-000024000000}"/>
    <cellStyle name="40% - Accent1 3" xfId="318" xr:uid="{00000000-0005-0000-0000-000025000000}"/>
    <cellStyle name="40% - Accent2 2" xfId="72" xr:uid="{00000000-0005-0000-0000-000026000000}"/>
    <cellStyle name="40% - Accent3 2" xfId="71" xr:uid="{00000000-0005-0000-0000-000027000000}"/>
    <cellStyle name="40% - Accent4 2" xfId="57" xr:uid="{00000000-0005-0000-0000-000028000000}"/>
    <cellStyle name="40% - Accent5 2" xfId="70" xr:uid="{00000000-0005-0000-0000-000029000000}"/>
    <cellStyle name="40% - Accent6 2" xfId="64" xr:uid="{00000000-0005-0000-0000-00002A000000}"/>
    <cellStyle name="60% - Accent1 2" xfId="63" xr:uid="{00000000-0005-0000-0000-00002B000000}"/>
    <cellStyle name="60% - Accent2 2" xfId="52" xr:uid="{00000000-0005-0000-0000-00002C000000}"/>
    <cellStyle name="60% - Accent3 2" xfId="15" xr:uid="{00000000-0005-0000-0000-00002D000000}"/>
    <cellStyle name="60% - Accent4 2" xfId="77" xr:uid="{00000000-0005-0000-0000-00002E000000}"/>
    <cellStyle name="60% - Accent5 2" xfId="76" xr:uid="{00000000-0005-0000-0000-00002F000000}"/>
    <cellStyle name="60% - Accent6 2" xfId="55" xr:uid="{00000000-0005-0000-0000-000030000000}"/>
    <cellStyle name="Accent1 - 20%" xfId="56" xr:uid="{00000000-0005-0000-0000-000031000000}"/>
    <cellStyle name="Accent1 - 40%" xfId="61" xr:uid="{00000000-0005-0000-0000-000032000000}"/>
    <cellStyle name="Accent1 - 60%" xfId="14" xr:uid="{00000000-0005-0000-0000-000033000000}"/>
    <cellStyle name="Accent1 2" xfId="78" xr:uid="{00000000-0005-0000-0000-000034000000}"/>
    <cellStyle name="Accent2 - 20%" xfId="79" xr:uid="{00000000-0005-0000-0000-000035000000}"/>
    <cellStyle name="Accent2 - 40%" xfId="80" xr:uid="{00000000-0005-0000-0000-000036000000}"/>
    <cellStyle name="Accent2 - 60%" xfId="81" xr:uid="{00000000-0005-0000-0000-000037000000}"/>
    <cellStyle name="Accent2 2" xfId="82" xr:uid="{00000000-0005-0000-0000-000038000000}"/>
    <cellStyle name="Accent3 - 20%" xfId="83" xr:uid="{00000000-0005-0000-0000-000039000000}"/>
    <cellStyle name="Accent3 - 40%" xfId="84" xr:uid="{00000000-0005-0000-0000-00003A000000}"/>
    <cellStyle name="Accent3 - 60%" xfId="85" xr:uid="{00000000-0005-0000-0000-00003B000000}"/>
    <cellStyle name="Accent3 2" xfId="86" xr:uid="{00000000-0005-0000-0000-00003C000000}"/>
    <cellStyle name="Accent4 - 20%" xfId="87" xr:uid="{00000000-0005-0000-0000-00003D000000}"/>
    <cellStyle name="Accent4 - 40%" xfId="88" xr:uid="{00000000-0005-0000-0000-00003E000000}"/>
    <cellStyle name="Accent4 - 60%" xfId="89" xr:uid="{00000000-0005-0000-0000-00003F000000}"/>
    <cellStyle name="Accent4 2" xfId="90" xr:uid="{00000000-0005-0000-0000-000040000000}"/>
    <cellStyle name="Accent5 - 20%" xfId="91" xr:uid="{00000000-0005-0000-0000-000041000000}"/>
    <cellStyle name="Accent5 - 40%" xfId="92" xr:uid="{00000000-0005-0000-0000-000042000000}"/>
    <cellStyle name="Accent5 - 60%" xfId="93" xr:uid="{00000000-0005-0000-0000-000043000000}"/>
    <cellStyle name="Accent5 2" xfId="94" xr:uid="{00000000-0005-0000-0000-000044000000}"/>
    <cellStyle name="Accent6 - 20%" xfId="95" xr:uid="{00000000-0005-0000-0000-000045000000}"/>
    <cellStyle name="Accent6 - 40%" xfId="96" xr:uid="{00000000-0005-0000-0000-000046000000}"/>
    <cellStyle name="Accent6 - 60%" xfId="97" xr:uid="{00000000-0005-0000-0000-000047000000}"/>
    <cellStyle name="Accent6 2" xfId="98" xr:uid="{00000000-0005-0000-0000-000048000000}"/>
    <cellStyle name="Agara" xfId="99" xr:uid="{00000000-0005-0000-0000-000049000000}"/>
    <cellStyle name="Assumptions Right Number" xfId="584" xr:uid="{6BC09117-BF1E-41D6-B43D-B9FBE5E811B4}"/>
    <cellStyle name="B79812_.wvu.PrintTitlest" xfId="100" xr:uid="{00000000-0005-0000-0000-00004A000000}"/>
    <cellStyle name="Bad 2" xfId="101" xr:uid="{00000000-0005-0000-0000-00004B000000}"/>
    <cellStyle name="Black" xfId="102" xr:uid="{00000000-0005-0000-0000-00004C000000}"/>
    <cellStyle name="Blockout" xfId="103" xr:uid="{00000000-0005-0000-0000-00004D000000}"/>
    <cellStyle name="Blockout 2" xfId="104" xr:uid="{00000000-0005-0000-0000-00004E000000}"/>
    <cellStyle name="Blockout 3" xfId="319" xr:uid="{00000000-0005-0000-0000-00004F000000}"/>
    <cellStyle name="Blue" xfId="105" xr:uid="{00000000-0005-0000-0000-000050000000}"/>
    <cellStyle name="Calculation 2" xfId="106" xr:uid="{00000000-0005-0000-0000-000051000000}"/>
    <cellStyle name="Calculation 2 2" xfId="320" xr:uid="{00000000-0005-0000-0000-000052000000}"/>
    <cellStyle name="Calculation 2 3" xfId="321" xr:uid="{00000000-0005-0000-0000-000053000000}"/>
    <cellStyle name="Check Cell 2" xfId="107" xr:uid="{00000000-0005-0000-0000-000054000000}"/>
    <cellStyle name="Check Cell 2 2 2 2" xfId="297" xr:uid="{00000000-0005-0000-0000-000055000000}"/>
    <cellStyle name="Comma [0]7Z_87C" xfId="108" xr:uid="{00000000-0005-0000-0000-000056000000}"/>
    <cellStyle name="Comma 0" xfId="109" xr:uid="{00000000-0005-0000-0000-000057000000}"/>
    <cellStyle name="Comma 1" xfId="110" xr:uid="{00000000-0005-0000-0000-000058000000}"/>
    <cellStyle name="Comma 1 2" xfId="111" xr:uid="{00000000-0005-0000-0000-000059000000}"/>
    <cellStyle name="Comma 10" xfId="322" xr:uid="{00000000-0005-0000-0000-00005A000000}"/>
    <cellStyle name="Comma 11" xfId="5" xr:uid="{00000000-0005-0000-0000-00005B000000}"/>
    <cellStyle name="Comma 11 2" xfId="51" xr:uid="{00000000-0005-0000-0000-00005C000000}"/>
    <cellStyle name="Comma 12" xfId="7" xr:uid="{00000000-0005-0000-0000-00005D000000}"/>
    <cellStyle name="Comma 12 2" xfId="573" xr:uid="{00000000-0005-0000-0000-00005E000000}"/>
    <cellStyle name="Comma 13" xfId="574" xr:uid="{00000000-0005-0000-0000-00005F000000}"/>
    <cellStyle name="Comma 14" xfId="3" xr:uid="{00000000-0005-0000-0000-000060000000}"/>
    <cellStyle name="Comma 14 2" xfId="579" xr:uid="{00000000-0005-0000-0000-000061000000}"/>
    <cellStyle name="Comma 2" xfId="12" xr:uid="{00000000-0005-0000-0000-000062000000}"/>
    <cellStyle name="Comma 2 2" xfId="113" xr:uid="{00000000-0005-0000-0000-000063000000}"/>
    <cellStyle name="Comma 2 2 2" xfId="323" xr:uid="{00000000-0005-0000-0000-000064000000}"/>
    <cellStyle name="Comma 2 2 3" xfId="324" xr:uid="{00000000-0005-0000-0000-000065000000}"/>
    <cellStyle name="Comma 2 3" xfId="114" xr:uid="{00000000-0005-0000-0000-000066000000}"/>
    <cellStyle name="Comma 2 3 2" xfId="115" xr:uid="{00000000-0005-0000-0000-000067000000}"/>
    <cellStyle name="Comma 2 4" xfId="116" xr:uid="{00000000-0005-0000-0000-000068000000}"/>
    <cellStyle name="Comma 2 5" xfId="117" xr:uid="{00000000-0005-0000-0000-000069000000}"/>
    <cellStyle name="Comma 2 6" xfId="325" xr:uid="{00000000-0005-0000-0000-00006A000000}"/>
    <cellStyle name="Comma 2 7" xfId="112" xr:uid="{00000000-0005-0000-0000-00006B000000}"/>
    <cellStyle name="Comma 2 8" xfId="577" xr:uid="{00000000-0005-0000-0000-00006C000000}"/>
    <cellStyle name="Comma 2 9" xfId="582" xr:uid="{642D4B2C-9BE4-4666-A6D5-2D1BA124FC4F}"/>
    <cellStyle name="Comma 3" xfId="118" xr:uid="{00000000-0005-0000-0000-00006D000000}"/>
    <cellStyle name="Comma 3 2" xfId="119" xr:uid="{00000000-0005-0000-0000-00006E000000}"/>
    <cellStyle name="Comma 3 2 2" xfId="326" xr:uid="{00000000-0005-0000-0000-00006F000000}"/>
    <cellStyle name="Comma 3 2 3" xfId="567" xr:uid="{00000000-0005-0000-0000-000070000000}"/>
    <cellStyle name="Comma 3 3" xfId="120" xr:uid="{00000000-0005-0000-0000-000071000000}"/>
    <cellStyle name="Comma 3 3 2" xfId="327" xr:uid="{00000000-0005-0000-0000-000072000000}"/>
    <cellStyle name="Comma 3 4" xfId="328" xr:uid="{00000000-0005-0000-0000-000073000000}"/>
    <cellStyle name="Comma 3 5" xfId="329" xr:uid="{00000000-0005-0000-0000-000074000000}"/>
    <cellStyle name="Comma 3 6" xfId="330" xr:uid="{00000000-0005-0000-0000-000075000000}"/>
    <cellStyle name="Comma 4" xfId="121" xr:uid="{00000000-0005-0000-0000-000076000000}"/>
    <cellStyle name="Comma 4 2" xfId="331" xr:uid="{00000000-0005-0000-0000-000077000000}"/>
    <cellStyle name="Comma 4 3" xfId="570" xr:uid="{00000000-0005-0000-0000-000078000000}"/>
    <cellStyle name="Comma 5" xfId="122" xr:uid="{00000000-0005-0000-0000-000079000000}"/>
    <cellStyle name="Comma 6" xfId="123" xr:uid="{00000000-0005-0000-0000-00007A000000}"/>
    <cellStyle name="Comma 7" xfId="124" xr:uid="{00000000-0005-0000-0000-00007B000000}"/>
    <cellStyle name="Comma 8" xfId="125" xr:uid="{00000000-0005-0000-0000-00007C000000}"/>
    <cellStyle name="Comma 9" xfId="332" xr:uid="{00000000-0005-0000-0000-00007D000000}"/>
    <cellStyle name="Comma 9 2" xfId="333" xr:uid="{00000000-0005-0000-0000-00007E000000}"/>
    <cellStyle name="Comma 9 3" xfId="334" xr:uid="{00000000-0005-0000-0000-00007F000000}"/>
    <cellStyle name="Comma0" xfId="126" xr:uid="{00000000-0005-0000-0000-000080000000}"/>
    <cellStyle name="Currency 11" xfId="127" xr:uid="{00000000-0005-0000-0000-000081000000}"/>
    <cellStyle name="Currency 11 2" xfId="128" xr:uid="{00000000-0005-0000-0000-000082000000}"/>
    <cellStyle name="Currency 2" xfId="129" xr:uid="{00000000-0005-0000-0000-000083000000}"/>
    <cellStyle name="Currency 2 2" xfId="45" xr:uid="{00000000-0005-0000-0000-000084000000}"/>
    <cellStyle name="Currency 2 2 2" xfId="281" xr:uid="{00000000-0005-0000-0000-000085000000}"/>
    <cellStyle name="Currency 2 3" xfId="44" xr:uid="{00000000-0005-0000-0000-000086000000}"/>
    <cellStyle name="Currency 3" xfId="130" xr:uid="{00000000-0005-0000-0000-000087000000}"/>
    <cellStyle name="Currency 3 2" xfId="131" xr:uid="{00000000-0005-0000-0000-000088000000}"/>
    <cellStyle name="Currency 4" xfId="132" xr:uid="{00000000-0005-0000-0000-000089000000}"/>
    <cellStyle name="Currency 4 2" xfId="133" xr:uid="{00000000-0005-0000-0000-00008A000000}"/>
    <cellStyle name="Currency 5" xfId="335" xr:uid="{00000000-0005-0000-0000-00008B000000}"/>
    <cellStyle name="Currency 6" xfId="336" xr:uid="{00000000-0005-0000-0000-00008C000000}"/>
    <cellStyle name="Currency 6 2" xfId="337" xr:uid="{00000000-0005-0000-0000-00008D000000}"/>
    <cellStyle name="Currency 6 3" xfId="338" xr:uid="{00000000-0005-0000-0000-00008E000000}"/>
    <cellStyle name="Currency 7" xfId="339" xr:uid="{00000000-0005-0000-0000-00008F000000}"/>
    <cellStyle name="Currency 8" xfId="50" xr:uid="{00000000-0005-0000-0000-000090000000}"/>
    <cellStyle name="D4_B8B1_005004B79812_.wvu.PrintTitlest" xfId="134" xr:uid="{00000000-0005-0000-0000-000091000000}"/>
    <cellStyle name="Date" xfId="135" xr:uid="{00000000-0005-0000-0000-000092000000}"/>
    <cellStyle name="Date 2" xfId="136" xr:uid="{00000000-0005-0000-0000-000093000000}"/>
    <cellStyle name="dms_1" xfId="9" xr:uid="{00000000-0005-0000-0000-000094000000}"/>
    <cellStyle name="Emphasis 1" xfId="137" xr:uid="{00000000-0005-0000-0000-000095000000}"/>
    <cellStyle name="Emphasis 2" xfId="138" xr:uid="{00000000-0005-0000-0000-000096000000}"/>
    <cellStyle name="Emphasis 3" xfId="139" xr:uid="{00000000-0005-0000-0000-000097000000}"/>
    <cellStyle name="Euro" xfId="140" xr:uid="{00000000-0005-0000-0000-000098000000}"/>
    <cellStyle name="Explanatory Text 2" xfId="141" xr:uid="{00000000-0005-0000-0000-000099000000}"/>
    <cellStyle name="Fixed" xfId="142" xr:uid="{00000000-0005-0000-0000-00009A000000}"/>
    <cellStyle name="Fixed 2" xfId="143" xr:uid="{00000000-0005-0000-0000-00009B000000}"/>
    <cellStyle name="Gilsans" xfId="144" xr:uid="{00000000-0005-0000-0000-00009C000000}"/>
    <cellStyle name="Gilsansl" xfId="145" xr:uid="{00000000-0005-0000-0000-00009D000000}"/>
    <cellStyle name="Good 2" xfId="146" xr:uid="{00000000-0005-0000-0000-00009E000000}"/>
    <cellStyle name="Heading 1 2" xfId="147" xr:uid="{00000000-0005-0000-0000-00009F000000}"/>
    <cellStyle name="Heading 1 2 2" xfId="148" xr:uid="{00000000-0005-0000-0000-0000A0000000}"/>
    <cellStyle name="Heading 1 3" xfId="149" xr:uid="{00000000-0005-0000-0000-0000A1000000}"/>
    <cellStyle name="Heading 2 2" xfId="150" xr:uid="{00000000-0005-0000-0000-0000A2000000}"/>
    <cellStyle name="Heading 2 2 2" xfId="151" xr:uid="{00000000-0005-0000-0000-0000A3000000}"/>
    <cellStyle name="Heading 2 3" xfId="152" xr:uid="{00000000-0005-0000-0000-0000A4000000}"/>
    <cellStyle name="Heading 3 2" xfId="153" xr:uid="{00000000-0005-0000-0000-0000A5000000}"/>
    <cellStyle name="Heading 3 2 2" xfId="154" xr:uid="{00000000-0005-0000-0000-0000A6000000}"/>
    <cellStyle name="Heading 3 2 2 2" xfId="283" xr:uid="{00000000-0005-0000-0000-0000A7000000}"/>
    <cellStyle name="Heading 3 2 2 2 2" xfId="340" xr:uid="{00000000-0005-0000-0000-0000A8000000}"/>
    <cellStyle name="Heading 3 2 2 2 2 2" xfId="341" xr:uid="{00000000-0005-0000-0000-0000A9000000}"/>
    <cellStyle name="Heading 3 2 2 2 2 3" xfId="342" xr:uid="{00000000-0005-0000-0000-0000AA000000}"/>
    <cellStyle name="Heading 3 2 2 2 2 4" xfId="343" xr:uid="{00000000-0005-0000-0000-0000AB000000}"/>
    <cellStyle name="Heading 3 2 2 2 3" xfId="344" xr:uid="{00000000-0005-0000-0000-0000AC000000}"/>
    <cellStyle name="Heading 3 2 2 2 4" xfId="345" xr:uid="{00000000-0005-0000-0000-0000AD000000}"/>
    <cellStyle name="Heading 3 2 2 2 5" xfId="346" xr:uid="{00000000-0005-0000-0000-0000AE000000}"/>
    <cellStyle name="Heading 3 2 2 3" xfId="347" xr:uid="{00000000-0005-0000-0000-0000AF000000}"/>
    <cellStyle name="Heading 3 2 2 3 2" xfId="348" xr:uid="{00000000-0005-0000-0000-0000B0000000}"/>
    <cellStyle name="Heading 3 2 2 3 2 2" xfId="349" xr:uid="{00000000-0005-0000-0000-0000B1000000}"/>
    <cellStyle name="Heading 3 2 2 3 2 3" xfId="350" xr:uid="{00000000-0005-0000-0000-0000B2000000}"/>
    <cellStyle name="Heading 3 2 2 3 2 4" xfId="351" xr:uid="{00000000-0005-0000-0000-0000B3000000}"/>
    <cellStyle name="Heading 3 2 2 3 3" xfId="352" xr:uid="{00000000-0005-0000-0000-0000B4000000}"/>
    <cellStyle name="Heading 3 2 2 3 4" xfId="353" xr:uid="{00000000-0005-0000-0000-0000B5000000}"/>
    <cellStyle name="Heading 3 2 2 3 5" xfId="354" xr:uid="{00000000-0005-0000-0000-0000B6000000}"/>
    <cellStyle name="Heading 3 2 2 4" xfId="355" xr:uid="{00000000-0005-0000-0000-0000B7000000}"/>
    <cellStyle name="Heading 3 2 2 4 2" xfId="356" xr:uid="{00000000-0005-0000-0000-0000B8000000}"/>
    <cellStyle name="Heading 3 2 2 4 3" xfId="357" xr:uid="{00000000-0005-0000-0000-0000B9000000}"/>
    <cellStyle name="Heading 3 2 2 4 4" xfId="358" xr:uid="{00000000-0005-0000-0000-0000BA000000}"/>
    <cellStyle name="Heading 3 2 2 5" xfId="359" xr:uid="{00000000-0005-0000-0000-0000BB000000}"/>
    <cellStyle name="Heading 3 2 2 5 2" xfId="360" xr:uid="{00000000-0005-0000-0000-0000BC000000}"/>
    <cellStyle name="Heading 3 2 2 5 3" xfId="361" xr:uid="{00000000-0005-0000-0000-0000BD000000}"/>
    <cellStyle name="Heading 3 2 3" xfId="155" xr:uid="{00000000-0005-0000-0000-0000BE000000}"/>
    <cellStyle name="Heading 3 2 4" xfId="282" xr:uid="{00000000-0005-0000-0000-0000BF000000}"/>
    <cellStyle name="Heading 3 2 4 2" xfId="362" xr:uid="{00000000-0005-0000-0000-0000C0000000}"/>
    <cellStyle name="Heading 3 2 4 2 2" xfId="363" xr:uid="{00000000-0005-0000-0000-0000C1000000}"/>
    <cellStyle name="Heading 3 2 4 2 3" xfId="364" xr:uid="{00000000-0005-0000-0000-0000C2000000}"/>
    <cellStyle name="Heading 3 2 4 2 4" xfId="365" xr:uid="{00000000-0005-0000-0000-0000C3000000}"/>
    <cellStyle name="Heading 3 2 4 3" xfId="366" xr:uid="{00000000-0005-0000-0000-0000C4000000}"/>
    <cellStyle name="Heading 3 2 4 4" xfId="367" xr:uid="{00000000-0005-0000-0000-0000C5000000}"/>
    <cellStyle name="Heading 3 2 4 5" xfId="368" xr:uid="{00000000-0005-0000-0000-0000C6000000}"/>
    <cellStyle name="Heading 3 2 5" xfId="369" xr:uid="{00000000-0005-0000-0000-0000C7000000}"/>
    <cellStyle name="Heading 3 2 5 2" xfId="370" xr:uid="{00000000-0005-0000-0000-0000C8000000}"/>
    <cellStyle name="Heading 3 2 5 2 2" xfId="371" xr:uid="{00000000-0005-0000-0000-0000C9000000}"/>
    <cellStyle name="Heading 3 2 5 2 3" xfId="372" xr:uid="{00000000-0005-0000-0000-0000CA000000}"/>
    <cellStyle name="Heading 3 2 5 2 4" xfId="373" xr:uid="{00000000-0005-0000-0000-0000CB000000}"/>
    <cellStyle name="Heading 3 2 5 3" xfId="374" xr:uid="{00000000-0005-0000-0000-0000CC000000}"/>
    <cellStyle name="Heading 3 2 5 4" xfId="375" xr:uid="{00000000-0005-0000-0000-0000CD000000}"/>
    <cellStyle name="Heading 3 2 5 5" xfId="376" xr:uid="{00000000-0005-0000-0000-0000CE000000}"/>
    <cellStyle name="Heading 3 2 6" xfId="377" xr:uid="{00000000-0005-0000-0000-0000CF000000}"/>
    <cellStyle name="Heading 3 2 6 2" xfId="378" xr:uid="{00000000-0005-0000-0000-0000D0000000}"/>
    <cellStyle name="Heading 3 2 6 3" xfId="379" xr:uid="{00000000-0005-0000-0000-0000D1000000}"/>
    <cellStyle name="Heading 3 2 6 4" xfId="380" xr:uid="{00000000-0005-0000-0000-0000D2000000}"/>
    <cellStyle name="Heading 3 2 7" xfId="381" xr:uid="{00000000-0005-0000-0000-0000D3000000}"/>
    <cellStyle name="Heading 3 2 7 2" xfId="382" xr:uid="{00000000-0005-0000-0000-0000D4000000}"/>
    <cellStyle name="Heading 3 2 7 3" xfId="383" xr:uid="{00000000-0005-0000-0000-0000D5000000}"/>
    <cellStyle name="Heading 3 3" xfId="156" xr:uid="{00000000-0005-0000-0000-0000D6000000}"/>
    <cellStyle name="Heading 4 2" xfId="157" xr:uid="{00000000-0005-0000-0000-0000D7000000}"/>
    <cellStyle name="Heading 4 2 2" xfId="158" xr:uid="{00000000-0005-0000-0000-0000D8000000}"/>
    <cellStyle name="Heading 4 3" xfId="159" xr:uid="{00000000-0005-0000-0000-0000D9000000}"/>
    <cellStyle name="Heading(4)" xfId="160" xr:uid="{00000000-0005-0000-0000-0000DA000000}"/>
    <cellStyle name="Hyperlink 2" xfId="11" xr:uid="{00000000-0005-0000-0000-0000DB000000}"/>
    <cellStyle name="Hyperlink 2 2" xfId="302" xr:uid="{00000000-0005-0000-0000-0000DC000000}"/>
    <cellStyle name="Hyperlink 2 3" xfId="384" xr:uid="{00000000-0005-0000-0000-0000DD000000}"/>
    <cellStyle name="Hyperlink 2 4" xfId="161" xr:uid="{00000000-0005-0000-0000-0000DE000000}"/>
    <cellStyle name="Hyperlink 3" xfId="385" xr:uid="{00000000-0005-0000-0000-0000DF000000}"/>
    <cellStyle name="Hyperlink 4" xfId="386" xr:uid="{00000000-0005-0000-0000-0000E0000000}"/>
    <cellStyle name="Hyperlink 5" xfId="571" xr:uid="{00000000-0005-0000-0000-0000E1000000}"/>
    <cellStyle name="Hyperlink 6" xfId="581" xr:uid="{792CC7C1-44F3-43BD-8E6C-001E9AD97148}"/>
    <cellStyle name="Hyperlink Arrow" xfId="162" xr:uid="{00000000-0005-0000-0000-0000E2000000}"/>
    <cellStyle name="Hyperlink Text" xfId="163" xr:uid="{00000000-0005-0000-0000-0000E3000000}"/>
    <cellStyle name="import" xfId="303" xr:uid="{00000000-0005-0000-0000-0000E4000000}"/>
    <cellStyle name="import%" xfId="304" xr:uid="{00000000-0005-0000-0000-0000E5000000}"/>
    <cellStyle name="import_ICRC Electricity model 1-1  (1 Feb 2003) " xfId="164" xr:uid="{00000000-0005-0000-0000-0000E6000000}"/>
    <cellStyle name="Input 2" xfId="165" xr:uid="{00000000-0005-0000-0000-0000E7000000}"/>
    <cellStyle name="Input 2 2" xfId="387" xr:uid="{00000000-0005-0000-0000-0000E8000000}"/>
    <cellStyle name="Input 2 3" xfId="388" xr:uid="{00000000-0005-0000-0000-0000E9000000}"/>
    <cellStyle name="Input1" xfId="49" xr:uid="{00000000-0005-0000-0000-0000EA000000}"/>
    <cellStyle name="Input1 2" xfId="166" xr:uid="{00000000-0005-0000-0000-0000EB000000}"/>
    <cellStyle name="Input1 2 2" xfId="389" xr:uid="{00000000-0005-0000-0000-0000EC000000}"/>
    <cellStyle name="Input1 3" xfId="305" xr:uid="{00000000-0005-0000-0000-0000ED000000}"/>
    <cellStyle name="Input1 3 2" xfId="390" xr:uid="{00000000-0005-0000-0000-0000EE000000}"/>
    <cellStyle name="Input1 4" xfId="391" xr:uid="{00000000-0005-0000-0000-0000EF000000}"/>
    <cellStyle name="Input1 5" xfId="392" xr:uid="{00000000-0005-0000-0000-0000F0000000}"/>
    <cellStyle name="Input1%" xfId="306" xr:uid="{00000000-0005-0000-0000-0000F1000000}"/>
    <cellStyle name="Input1_ICRC Electricity model 1-1  (1 Feb 2003) " xfId="167" xr:uid="{00000000-0005-0000-0000-0000F2000000}"/>
    <cellStyle name="Input1default" xfId="307" xr:uid="{00000000-0005-0000-0000-0000F3000000}"/>
    <cellStyle name="Input1default%" xfId="308" xr:uid="{00000000-0005-0000-0000-0000F4000000}"/>
    <cellStyle name="Input2" xfId="168" xr:uid="{00000000-0005-0000-0000-0000F5000000}"/>
    <cellStyle name="Input2 2" xfId="169" xr:uid="{00000000-0005-0000-0000-0000F6000000}"/>
    <cellStyle name="Input2 3" xfId="393" xr:uid="{00000000-0005-0000-0000-0000F7000000}"/>
    <cellStyle name="Input3" xfId="48" xr:uid="{00000000-0005-0000-0000-0000F8000000}"/>
    <cellStyle name="Input3 2" xfId="170" xr:uid="{00000000-0005-0000-0000-0000F9000000}"/>
    <cellStyle name="Input3 3" xfId="394" xr:uid="{00000000-0005-0000-0000-0000FA000000}"/>
    <cellStyle name="InputCell" xfId="292" xr:uid="{00000000-0005-0000-0000-0000FB000000}"/>
    <cellStyle name="InputCell 2" xfId="395" xr:uid="{00000000-0005-0000-0000-0000FC000000}"/>
    <cellStyle name="InputCell 3" xfId="396" xr:uid="{00000000-0005-0000-0000-0000FD000000}"/>
    <cellStyle name="InputCellText" xfId="397" xr:uid="{00000000-0005-0000-0000-0000FE000000}"/>
    <cellStyle name="InputCellText 2" xfId="398" xr:uid="{00000000-0005-0000-0000-0000FF000000}"/>
    <cellStyle name="InputCellText 3" xfId="399" xr:uid="{00000000-0005-0000-0000-000000010000}"/>
    <cellStyle name="key result" xfId="309" xr:uid="{00000000-0005-0000-0000-000001010000}"/>
    <cellStyle name="Lines" xfId="171" xr:uid="{00000000-0005-0000-0000-000002010000}"/>
    <cellStyle name="Linked Cell 2" xfId="172" xr:uid="{00000000-0005-0000-0000-000003010000}"/>
    <cellStyle name="Local import" xfId="310" xr:uid="{00000000-0005-0000-0000-000004010000}"/>
    <cellStyle name="Local import %" xfId="311" xr:uid="{00000000-0005-0000-0000-000005010000}"/>
    <cellStyle name="Mine" xfId="173" xr:uid="{00000000-0005-0000-0000-000006010000}"/>
    <cellStyle name="Model Name" xfId="174" xr:uid="{00000000-0005-0000-0000-000007010000}"/>
    <cellStyle name="Neutral 2" xfId="175" xr:uid="{00000000-0005-0000-0000-000008010000}"/>
    <cellStyle name="NonInputCell" xfId="293" xr:uid="{00000000-0005-0000-0000-000009010000}"/>
    <cellStyle name="NonInputCell 2" xfId="400" xr:uid="{00000000-0005-0000-0000-00000A010000}"/>
    <cellStyle name="NonInputCell 3" xfId="401" xr:uid="{00000000-0005-0000-0000-00000B010000}"/>
    <cellStyle name="Normal" xfId="0" builtinId="0"/>
    <cellStyle name="Normal - Style1" xfId="176" xr:uid="{00000000-0005-0000-0000-00000D010000}"/>
    <cellStyle name="Normal 10" xfId="280" xr:uid="{00000000-0005-0000-0000-00000E010000}"/>
    <cellStyle name="Normal 10 2" xfId="402" xr:uid="{00000000-0005-0000-0000-00000F010000}"/>
    <cellStyle name="Normal 11" xfId="279" xr:uid="{00000000-0005-0000-0000-000010010000}"/>
    <cellStyle name="Normal 11 2" xfId="403" xr:uid="{00000000-0005-0000-0000-000011010000}"/>
    <cellStyle name="Normal 11 3" xfId="404" xr:uid="{00000000-0005-0000-0000-000012010000}"/>
    <cellStyle name="Normal 11 4" xfId="405" xr:uid="{00000000-0005-0000-0000-000013010000}"/>
    <cellStyle name="Normal 114" xfId="37" xr:uid="{00000000-0005-0000-0000-000014010000}"/>
    <cellStyle name="Normal 12" xfId="313" xr:uid="{00000000-0005-0000-0000-000015010000}"/>
    <cellStyle name="Normal 12 2" xfId="406" xr:uid="{00000000-0005-0000-0000-000016010000}"/>
    <cellStyle name="Normal 12 2 2" xfId="569" xr:uid="{00000000-0005-0000-0000-000017010000}"/>
    <cellStyle name="Normal 13" xfId="177" xr:uid="{00000000-0005-0000-0000-000018010000}"/>
    <cellStyle name="Normal 13 2" xfId="178" xr:uid="{00000000-0005-0000-0000-000019010000}"/>
    <cellStyle name="Normal 13_29(d) - Gas extensions -tariffs" xfId="179" xr:uid="{00000000-0005-0000-0000-00001A010000}"/>
    <cellStyle name="Normal 14" xfId="298" xr:uid="{00000000-0005-0000-0000-00001B010000}"/>
    <cellStyle name="Normal 14 2" xfId="316" xr:uid="{00000000-0005-0000-0000-00001C010000}"/>
    <cellStyle name="Normal 14 3" xfId="407" xr:uid="{00000000-0005-0000-0000-00001D010000}"/>
    <cellStyle name="Normal 14 3 2" xfId="408" xr:uid="{00000000-0005-0000-0000-00001E010000}"/>
    <cellStyle name="Normal 14 3 3" xfId="409" xr:uid="{00000000-0005-0000-0000-00001F010000}"/>
    <cellStyle name="Normal 14 4" xfId="410" xr:uid="{00000000-0005-0000-0000-000020010000}"/>
    <cellStyle name="Normal 14 5" xfId="411" xr:uid="{00000000-0005-0000-0000-000021010000}"/>
    <cellStyle name="Normal 15" xfId="180" xr:uid="{00000000-0005-0000-0000-000022010000}"/>
    <cellStyle name="Normal 15 2" xfId="412" xr:uid="{00000000-0005-0000-0000-000023010000}"/>
    <cellStyle name="Normal 16" xfId="181" xr:uid="{00000000-0005-0000-0000-000024010000}"/>
    <cellStyle name="Normal 16 2" xfId="413" xr:uid="{00000000-0005-0000-0000-000025010000}"/>
    <cellStyle name="Normal 17" xfId="414" xr:uid="{00000000-0005-0000-0000-000026010000}"/>
    <cellStyle name="Normal 17 2" xfId="415" xr:uid="{00000000-0005-0000-0000-000027010000}"/>
    <cellStyle name="Normal 17 2 2" xfId="416" xr:uid="{00000000-0005-0000-0000-000028010000}"/>
    <cellStyle name="Normal 17 2 2 2" xfId="417" xr:uid="{00000000-0005-0000-0000-000029010000}"/>
    <cellStyle name="Normal 17 2 2 3" xfId="418" xr:uid="{00000000-0005-0000-0000-00002A010000}"/>
    <cellStyle name="Normal 17 2 3" xfId="419" xr:uid="{00000000-0005-0000-0000-00002B010000}"/>
    <cellStyle name="Normal 17 2 4" xfId="420" xr:uid="{00000000-0005-0000-0000-00002C010000}"/>
    <cellStyle name="Normal 17 3" xfId="421" xr:uid="{00000000-0005-0000-0000-00002D010000}"/>
    <cellStyle name="Normal 17 3 2" xfId="422" xr:uid="{00000000-0005-0000-0000-00002E010000}"/>
    <cellStyle name="Normal 17 3 2 2" xfId="423" xr:uid="{00000000-0005-0000-0000-00002F010000}"/>
    <cellStyle name="Normal 17 3 2 3" xfId="424" xr:uid="{00000000-0005-0000-0000-000030010000}"/>
    <cellStyle name="Normal 17 3 3" xfId="425" xr:uid="{00000000-0005-0000-0000-000031010000}"/>
    <cellStyle name="Normal 17 3 4" xfId="426" xr:uid="{00000000-0005-0000-0000-000032010000}"/>
    <cellStyle name="Normal 17 4" xfId="427" xr:uid="{00000000-0005-0000-0000-000033010000}"/>
    <cellStyle name="Normal 17 4 2" xfId="428" xr:uid="{00000000-0005-0000-0000-000034010000}"/>
    <cellStyle name="Normal 17 4 3" xfId="429" xr:uid="{00000000-0005-0000-0000-000035010000}"/>
    <cellStyle name="Normal 17 5" xfId="430" xr:uid="{00000000-0005-0000-0000-000036010000}"/>
    <cellStyle name="Normal 17 6" xfId="431" xr:uid="{00000000-0005-0000-0000-000037010000}"/>
    <cellStyle name="Normal 18" xfId="432" xr:uid="{00000000-0005-0000-0000-000038010000}"/>
    <cellStyle name="Normal 18 2" xfId="433" xr:uid="{00000000-0005-0000-0000-000039010000}"/>
    <cellStyle name="Normal 19" xfId="434" xr:uid="{00000000-0005-0000-0000-00003A010000}"/>
    <cellStyle name="Normal 2" xfId="1" xr:uid="{00000000-0005-0000-0000-00003B010000}"/>
    <cellStyle name="Normal 2 2" xfId="41" xr:uid="{00000000-0005-0000-0000-00003C010000}"/>
    <cellStyle name="Normal 2 2 2" xfId="182" xr:uid="{00000000-0005-0000-0000-00003D010000}"/>
    <cellStyle name="Normal 2 2 3" xfId="284" xr:uid="{00000000-0005-0000-0000-00003E010000}"/>
    <cellStyle name="Normal 2 2 4" xfId="435" xr:uid="{00000000-0005-0000-0000-00003F010000}"/>
    <cellStyle name="Normal 2 2 5" xfId="436" xr:uid="{00000000-0005-0000-0000-000040010000}"/>
    <cellStyle name="Normal 2 3" xfId="183" xr:uid="{00000000-0005-0000-0000-000041010000}"/>
    <cellStyle name="Normal 2 3 2" xfId="184" xr:uid="{00000000-0005-0000-0000-000042010000}"/>
    <cellStyle name="Normal 2 3 3" xfId="312" xr:uid="{00000000-0005-0000-0000-000043010000}"/>
    <cellStyle name="Normal 2 3_29(d) - Gas extensions -tariffs" xfId="185" xr:uid="{00000000-0005-0000-0000-000044010000}"/>
    <cellStyle name="Normal 2 4" xfId="186" xr:uid="{00000000-0005-0000-0000-000045010000}"/>
    <cellStyle name="Normal 2 4 2" xfId="437" xr:uid="{00000000-0005-0000-0000-000046010000}"/>
    <cellStyle name="Normal 2 4 3" xfId="438" xr:uid="{00000000-0005-0000-0000-000047010000}"/>
    <cellStyle name="Normal 2 5" xfId="187" xr:uid="{00000000-0005-0000-0000-000048010000}"/>
    <cellStyle name="Normal 2 6" xfId="291" xr:uid="{00000000-0005-0000-0000-000049010000}"/>
    <cellStyle name="Normal 2 7" xfId="13" xr:uid="{00000000-0005-0000-0000-00004A010000}"/>
    <cellStyle name="Normal 2 8" xfId="580" xr:uid="{D3D4AC8D-A88D-44D2-86DF-3B2D687F122B}"/>
    <cellStyle name="Normal 2_29(d) - Gas extensions -tariffs" xfId="188" xr:uid="{00000000-0005-0000-0000-00004B010000}"/>
    <cellStyle name="Normal 20" xfId="439" xr:uid="{00000000-0005-0000-0000-00004C010000}"/>
    <cellStyle name="Normal 20 2" xfId="440" xr:uid="{00000000-0005-0000-0000-00004D010000}"/>
    <cellStyle name="Normal 20 2 2" xfId="441" xr:uid="{00000000-0005-0000-0000-00004E010000}"/>
    <cellStyle name="Normal 20 3" xfId="442" xr:uid="{00000000-0005-0000-0000-00004F010000}"/>
    <cellStyle name="Normal 20 4" xfId="443" xr:uid="{00000000-0005-0000-0000-000050010000}"/>
    <cellStyle name="Normal 21" xfId="444" xr:uid="{00000000-0005-0000-0000-000051010000}"/>
    <cellStyle name="Normal 21 2" xfId="445" xr:uid="{00000000-0005-0000-0000-000052010000}"/>
    <cellStyle name="Normal 21 3" xfId="446" xr:uid="{00000000-0005-0000-0000-000053010000}"/>
    <cellStyle name="Normal 22" xfId="447" xr:uid="{00000000-0005-0000-0000-000054010000}"/>
    <cellStyle name="Normal 23" xfId="448" xr:uid="{00000000-0005-0000-0000-000055010000}"/>
    <cellStyle name="Normal 23 2" xfId="449" xr:uid="{00000000-0005-0000-0000-000056010000}"/>
    <cellStyle name="Normal 23 2 2" xfId="450" xr:uid="{00000000-0005-0000-0000-000057010000}"/>
    <cellStyle name="Normal 23 3" xfId="451" xr:uid="{00000000-0005-0000-0000-000058010000}"/>
    <cellStyle name="Normal 23 4" xfId="452" xr:uid="{00000000-0005-0000-0000-000059010000}"/>
    <cellStyle name="Normal 24" xfId="453" xr:uid="{00000000-0005-0000-0000-00005A010000}"/>
    <cellStyle name="Normal 24 2" xfId="454" xr:uid="{00000000-0005-0000-0000-00005B010000}"/>
    <cellStyle name="Normal 24 2 2" xfId="455" xr:uid="{00000000-0005-0000-0000-00005C010000}"/>
    <cellStyle name="Normal 24 3" xfId="456" xr:uid="{00000000-0005-0000-0000-00005D010000}"/>
    <cellStyle name="Normal 24 4" xfId="457" xr:uid="{00000000-0005-0000-0000-00005E010000}"/>
    <cellStyle name="Normal 25" xfId="458" xr:uid="{00000000-0005-0000-0000-00005F010000}"/>
    <cellStyle name="Normal 25 2" xfId="459" xr:uid="{00000000-0005-0000-0000-000060010000}"/>
    <cellStyle name="Normal 25 2 2" xfId="460" xr:uid="{00000000-0005-0000-0000-000061010000}"/>
    <cellStyle name="Normal 25 3" xfId="461" xr:uid="{00000000-0005-0000-0000-000062010000}"/>
    <cellStyle name="Normal 25 4" xfId="462" xr:uid="{00000000-0005-0000-0000-000063010000}"/>
    <cellStyle name="Normal 26" xfId="463" xr:uid="{00000000-0005-0000-0000-000064010000}"/>
    <cellStyle name="Normal 26 2" xfId="464" xr:uid="{00000000-0005-0000-0000-000065010000}"/>
    <cellStyle name="Normal 26 2 2" xfId="465" xr:uid="{00000000-0005-0000-0000-000066010000}"/>
    <cellStyle name="Normal 26 3" xfId="466" xr:uid="{00000000-0005-0000-0000-000067010000}"/>
    <cellStyle name="Normal 26 4" xfId="467" xr:uid="{00000000-0005-0000-0000-000068010000}"/>
    <cellStyle name="Normal 27" xfId="468" xr:uid="{00000000-0005-0000-0000-000069010000}"/>
    <cellStyle name="Normal 28" xfId="315" xr:uid="{00000000-0005-0000-0000-00006A010000}"/>
    <cellStyle name="Normal 29" xfId="469" xr:uid="{00000000-0005-0000-0000-00006B010000}"/>
    <cellStyle name="Normal 3" xfId="8" xr:uid="{00000000-0005-0000-0000-00006C010000}"/>
    <cellStyle name="Normal 3 2" xfId="189" xr:uid="{00000000-0005-0000-0000-00006D010000}"/>
    <cellStyle name="Normal 3 2 2" xfId="568" xr:uid="{00000000-0005-0000-0000-00006E010000}"/>
    <cellStyle name="Normal 3 3" xfId="299" xr:uid="{00000000-0005-0000-0000-00006F010000}"/>
    <cellStyle name="Normal 3 3 2" xfId="470" xr:uid="{00000000-0005-0000-0000-000070010000}"/>
    <cellStyle name="Normal 3 3 3" xfId="471" xr:uid="{00000000-0005-0000-0000-000071010000}"/>
    <cellStyle name="Normal 3 4" xfId="472" xr:uid="{00000000-0005-0000-0000-000072010000}"/>
    <cellStyle name="Normal 3 5" xfId="294" xr:uid="{00000000-0005-0000-0000-000073010000}"/>
    <cellStyle name="Normal 3 5 2" xfId="473" xr:uid="{00000000-0005-0000-0000-000074010000}"/>
    <cellStyle name="Normal 3 5 3" xfId="474" xr:uid="{00000000-0005-0000-0000-000075010000}"/>
    <cellStyle name="Normal 3 6" xfId="43" xr:uid="{00000000-0005-0000-0000-000076010000}"/>
    <cellStyle name="Normal 3_29(d) - Gas extensions -tariffs" xfId="190" xr:uid="{00000000-0005-0000-0000-000077010000}"/>
    <cellStyle name="Normal 30" xfId="475" xr:uid="{00000000-0005-0000-0000-000078010000}"/>
    <cellStyle name="Normal 31" xfId="476" xr:uid="{00000000-0005-0000-0000-000079010000}"/>
    <cellStyle name="Normal 32" xfId="314" xr:uid="{00000000-0005-0000-0000-00007A010000}"/>
    <cellStyle name="Normal 33" xfId="477" xr:uid="{00000000-0005-0000-0000-00007B010000}"/>
    <cellStyle name="Normal 34" xfId="4" xr:uid="{00000000-0005-0000-0000-00007C010000}"/>
    <cellStyle name="Normal 35" xfId="6" xr:uid="{00000000-0005-0000-0000-00007D010000}"/>
    <cellStyle name="Normal 35 2" xfId="572" xr:uid="{00000000-0005-0000-0000-00007E010000}"/>
    <cellStyle name="Normal 36" xfId="575" xr:uid="{00000000-0005-0000-0000-00007F010000}"/>
    <cellStyle name="Normal 37" xfId="2" xr:uid="{00000000-0005-0000-0000-000080010000}"/>
    <cellStyle name="Normal 37 2" xfId="578" xr:uid="{00000000-0005-0000-0000-000081010000}"/>
    <cellStyle name="Normal 38" xfId="191" xr:uid="{00000000-0005-0000-0000-000082010000}"/>
    <cellStyle name="Normal 38 2" xfId="192" xr:uid="{00000000-0005-0000-0000-000083010000}"/>
    <cellStyle name="Normal 38_29(d) - Gas extensions -tariffs" xfId="193" xr:uid="{00000000-0005-0000-0000-000084010000}"/>
    <cellStyle name="Normal 4" xfId="40" xr:uid="{00000000-0005-0000-0000-000085010000}"/>
    <cellStyle name="Normal 4 2" xfId="194" xr:uid="{00000000-0005-0000-0000-000086010000}"/>
    <cellStyle name="Normal 4 2 2" xfId="478" xr:uid="{00000000-0005-0000-0000-000087010000}"/>
    <cellStyle name="Normal 4 2 2 2" xfId="479" xr:uid="{00000000-0005-0000-0000-000088010000}"/>
    <cellStyle name="Normal 4 2 2 2 2" xfId="480" xr:uid="{00000000-0005-0000-0000-000089010000}"/>
    <cellStyle name="Normal 4 2 2 2 3" xfId="481" xr:uid="{00000000-0005-0000-0000-00008A010000}"/>
    <cellStyle name="Normal 4 2 2 3" xfId="482" xr:uid="{00000000-0005-0000-0000-00008B010000}"/>
    <cellStyle name="Normal 4 2 2 4" xfId="483" xr:uid="{00000000-0005-0000-0000-00008C010000}"/>
    <cellStyle name="Normal 4 2 3" xfId="484" xr:uid="{00000000-0005-0000-0000-00008D010000}"/>
    <cellStyle name="Normal 4 2 3 2" xfId="485" xr:uid="{00000000-0005-0000-0000-00008E010000}"/>
    <cellStyle name="Normal 4 2 3 2 2" xfId="486" xr:uid="{00000000-0005-0000-0000-00008F010000}"/>
    <cellStyle name="Normal 4 2 3 2 3" xfId="487" xr:uid="{00000000-0005-0000-0000-000090010000}"/>
    <cellStyle name="Normal 4 2 3 3" xfId="488" xr:uid="{00000000-0005-0000-0000-000091010000}"/>
    <cellStyle name="Normal 4 2 3 4" xfId="489" xr:uid="{00000000-0005-0000-0000-000092010000}"/>
    <cellStyle name="Normal 4 3" xfId="195" xr:uid="{00000000-0005-0000-0000-000093010000}"/>
    <cellStyle name="Normal 4 3 2" xfId="285" xr:uid="{00000000-0005-0000-0000-000094010000}"/>
    <cellStyle name="Normal 4 3 2 2" xfId="490" xr:uid="{00000000-0005-0000-0000-000095010000}"/>
    <cellStyle name="Normal 4 3 2 3" xfId="491" xr:uid="{00000000-0005-0000-0000-000096010000}"/>
    <cellStyle name="Normal 4 3 3" xfId="492" xr:uid="{00000000-0005-0000-0000-000097010000}"/>
    <cellStyle name="Normal 4 3 3 2" xfId="493" xr:uid="{00000000-0005-0000-0000-000098010000}"/>
    <cellStyle name="Normal 4 3 4" xfId="494" xr:uid="{00000000-0005-0000-0000-000099010000}"/>
    <cellStyle name="Normal 4 4" xfId="300" xr:uid="{00000000-0005-0000-0000-00009A010000}"/>
    <cellStyle name="Normal 4 5" xfId="495" xr:uid="{00000000-0005-0000-0000-00009B010000}"/>
    <cellStyle name="Normal 4 6" xfId="496" xr:uid="{00000000-0005-0000-0000-00009C010000}"/>
    <cellStyle name="Normal 4_29(d) - Gas extensions -tariffs" xfId="196" xr:uid="{00000000-0005-0000-0000-00009D010000}"/>
    <cellStyle name="Normal 40" xfId="197" xr:uid="{00000000-0005-0000-0000-00009E010000}"/>
    <cellStyle name="Normal 40 2" xfId="198" xr:uid="{00000000-0005-0000-0000-00009F010000}"/>
    <cellStyle name="Normal 40_29(d) - Gas extensions -tariffs" xfId="199" xr:uid="{00000000-0005-0000-0000-0000A0010000}"/>
    <cellStyle name="Normal 5" xfId="200" xr:uid="{00000000-0005-0000-0000-0000A1010000}"/>
    <cellStyle name="Normal 5 2" xfId="201" xr:uid="{00000000-0005-0000-0000-0000A2010000}"/>
    <cellStyle name="Normal 5 3" xfId="295" xr:uid="{00000000-0005-0000-0000-0000A3010000}"/>
    <cellStyle name="Normal 6" xfId="202" xr:uid="{00000000-0005-0000-0000-0000A4010000}"/>
    <cellStyle name="Normal 6 2" xfId="203" xr:uid="{00000000-0005-0000-0000-0000A5010000}"/>
    <cellStyle name="Normal 6 2 2" xfId="497" xr:uid="{00000000-0005-0000-0000-0000A6010000}"/>
    <cellStyle name="Normal 7" xfId="204" xr:uid="{00000000-0005-0000-0000-0000A7010000}"/>
    <cellStyle name="Normal 7 2" xfId="205" xr:uid="{00000000-0005-0000-0000-0000A8010000}"/>
    <cellStyle name="Normal 7 2 2" xfId="286" xr:uid="{00000000-0005-0000-0000-0000A9010000}"/>
    <cellStyle name="Normal 7 2 2 2" xfId="498" xr:uid="{00000000-0005-0000-0000-0000AA010000}"/>
    <cellStyle name="Normal 7 2 2 3" xfId="499" xr:uid="{00000000-0005-0000-0000-0000AB010000}"/>
    <cellStyle name="Normal 7 2 3" xfId="500" xr:uid="{00000000-0005-0000-0000-0000AC010000}"/>
    <cellStyle name="Normal 7 2 4" xfId="501" xr:uid="{00000000-0005-0000-0000-0000AD010000}"/>
    <cellStyle name="Normal 8" xfId="206" xr:uid="{00000000-0005-0000-0000-0000AE010000}"/>
    <cellStyle name="Normal 8 2" xfId="301" xr:uid="{00000000-0005-0000-0000-0000AF010000}"/>
    <cellStyle name="Normal 8 2 2" xfId="502" xr:uid="{00000000-0005-0000-0000-0000B0010000}"/>
    <cellStyle name="Normal 8 2 3" xfId="503" xr:uid="{00000000-0005-0000-0000-0000B1010000}"/>
    <cellStyle name="Normal 8 2 3 2" xfId="504" xr:uid="{00000000-0005-0000-0000-0000B2010000}"/>
    <cellStyle name="Normal 8 2 3 3" xfId="505" xr:uid="{00000000-0005-0000-0000-0000B3010000}"/>
    <cellStyle name="Normal 8 2 4" xfId="506" xr:uid="{00000000-0005-0000-0000-0000B4010000}"/>
    <cellStyle name="Normal 9" xfId="207" xr:uid="{00000000-0005-0000-0000-0000B5010000}"/>
    <cellStyle name="Normal 9 2" xfId="507" xr:uid="{00000000-0005-0000-0000-0000B6010000}"/>
    <cellStyle name="Normal 9 3" xfId="576" xr:uid="{00000000-0005-0000-0000-0000B7010000}"/>
    <cellStyle name="Note 2" xfId="208" xr:uid="{00000000-0005-0000-0000-0000B8010000}"/>
    <cellStyle name="Note 2 2" xfId="508" xr:uid="{00000000-0005-0000-0000-0000B9010000}"/>
    <cellStyle name="Note 2 3" xfId="509" xr:uid="{00000000-0005-0000-0000-0000BA010000}"/>
    <cellStyle name="Note 3" xfId="510" xr:uid="{00000000-0005-0000-0000-0000BB010000}"/>
    <cellStyle name="Note 3 2" xfId="511" xr:uid="{00000000-0005-0000-0000-0000BC010000}"/>
    <cellStyle name="Note 3 3" xfId="512" xr:uid="{00000000-0005-0000-0000-0000BD010000}"/>
    <cellStyle name="Note 4" xfId="513" xr:uid="{00000000-0005-0000-0000-0000BE010000}"/>
    <cellStyle name="Note 4 2" xfId="514" xr:uid="{00000000-0005-0000-0000-0000BF010000}"/>
    <cellStyle name="Note 4 3" xfId="515" xr:uid="{00000000-0005-0000-0000-0000C0010000}"/>
    <cellStyle name="Output 2" xfId="209" xr:uid="{00000000-0005-0000-0000-0000C1010000}"/>
    <cellStyle name="Output 2 2" xfId="516" xr:uid="{00000000-0005-0000-0000-0000C2010000}"/>
    <cellStyle name="Output 2 3" xfId="517" xr:uid="{00000000-0005-0000-0000-0000C3010000}"/>
    <cellStyle name="Percent [2]" xfId="210" xr:uid="{00000000-0005-0000-0000-0000C4010000}"/>
    <cellStyle name="Percent [2] 2" xfId="211" xr:uid="{00000000-0005-0000-0000-0000C5010000}"/>
    <cellStyle name="Percent [2]_29(d) - Gas extensions -tariffs" xfId="212" xr:uid="{00000000-0005-0000-0000-0000C6010000}"/>
    <cellStyle name="Percent 12" xfId="518" xr:uid="{00000000-0005-0000-0000-0000C7010000}"/>
    <cellStyle name="Percent 12 2" xfId="519" xr:uid="{00000000-0005-0000-0000-0000C8010000}"/>
    <cellStyle name="Percent 12 2 2" xfId="520" xr:uid="{00000000-0005-0000-0000-0000C9010000}"/>
    <cellStyle name="Percent 12 3" xfId="521" xr:uid="{00000000-0005-0000-0000-0000CA010000}"/>
    <cellStyle name="Percent 12 4" xfId="522" xr:uid="{00000000-0005-0000-0000-0000CB010000}"/>
    <cellStyle name="Percent 2" xfId="10" xr:uid="{00000000-0005-0000-0000-0000CC010000}"/>
    <cellStyle name="Percent 2 2" xfId="213" xr:uid="{00000000-0005-0000-0000-0000CD010000}"/>
    <cellStyle name="Percent 2 2 2" xfId="523" xr:uid="{00000000-0005-0000-0000-0000CE010000}"/>
    <cellStyle name="Percent 2 2 2 2" xfId="524" xr:uid="{00000000-0005-0000-0000-0000CF010000}"/>
    <cellStyle name="Percent 2 2 2 2 2" xfId="525" xr:uid="{00000000-0005-0000-0000-0000D0010000}"/>
    <cellStyle name="Percent 2 2 2 2 3" xfId="526" xr:uid="{00000000-0005-0000-0000-0000D1010000}"/>
    <cellStyle name="Percent 2 2 2 3" xfId="527" xr:uid="{00000000-0005-0000-0000-0000D2010000}"/>
    <cellStyle name="Percent 2 2 2 4" xfId="528" xr:uid="{00000000-0005-0000-0000-0000D3010000}"/>
    <cellStyle name="Percent 2 2 3" xfId="529" xr:uid="{00000000-0005-0000-0000-0000D4010000}"/>
    <cellStyle name="Percent 2 2 3 2" xfId="530" xr:uid="{00000000-0005-0000-0000-0000D5010000}"/>
    <cellStyle name="Percent 2 2 3 2 2" xfId="531" xr:uid="{00000000-0005-0000-0000-0000D6010000}"/>
    <cellStyle name="Percent 2 2 3 2 3" xfId="532" xr:uid="{00000000-0005-0000-0000-0000D7010000}"/>
    <cellStyle name="Percent 2 2 3 3" xfId="533" xr:uid="{00000000-0005-0000-0000-0000D8010000}"/>
    <cellStyle name="Percent 2 2 3 4" xfId="534" xr:uid="{00000000-0005-0000-0000-0000D9010000}"/>
    <cellStyle name="Percent 2 3" xfId="535" xr:uid="{00000000-0005-0000-0000-0000DA010000}"/>
    <cellStyle name="Percent 2 3 2" xfId="536" xr:uid="{00000000-0005-0000-0000-0000DB010000}"/>
    <cellStyle name="Percent 2 3 2 2" xfId="537" xr:uid="{00000000-0005-0000-0000-0000DC010000}"/>
    <cellStyle name="Percent 2 3 2 3" xfId="538" xr:uid="{00000000-0005-0000-0000-0000DD010000}"/>
    <cellStyle name="Percent 2 3 3" xfId="539" xr:uid="{00000000-0005-0000-0000-0000DE010000}"/>
    <cellStyle name="Percent 2 3 4" xfId="540" xr:uid="{00000000-0005-0000-0000-0000DF010000}"/>
    <cellStyle name="Percent 2 4" xfId="541" xr:uid="{00000000-0005-0000-0000-0000E0010000}"/>
    <cellStyle name="Percent 2 4 2" xfId="542" xr:uid="{00000000-0005-0000-0000-0000E1010000}"/>
    <cellStyle name="Percent 2 4 2 2" xfId="543" xr:uid="{00000000-0005-0000-0000-0000E2010000}"/>
    <cellStyle name="Percent 2 4 2 3" xfId="544" xr:uid="{00000000-0005-0000-0000-0000E3010000}"/>
    <cellStyle name="Percent 2 4 3" xfId="545" xr:uid="{00000000-0005-0000-0000-0000E4010000}"/>
    <cellStyle name="Percent 2 4 4" xfId="546" xr:uid="{00000000-0005-0000-0000-0000E5010000}"/>
    <cellStyle name="Percent 2 5" xfId="46" xr:uid="{00000000-0005-0000-0000-0000E6010000}"/>
    <cellStyle name="Percent 2 6" xfId="583" xr:uid="{A4B46F03-4BB5-4BD8-8271-14F2A2C5378A}"/>
    <cellStyle name="Percent 3" xfId="214" xr:uid="{00000000-0005-0000-0000-0000E7010000}"/>
    <cellStyle name="Percent 3 2" xfId="215" xr:uid="{00000000-0005-0000-0000-0000E8010000}"/>
    <cellStyle name="Percent 3 4" xfId="296" xr:uid="{00000000-0005-0000-0000-0000E9010000}"/>
    <cellStyle name="Percent 3 4 2" xfId="547" xr:uid="{00000000-0005-0000-0000-0000EA010000}"/>
    <cellStyle name="Percent 3 4 3" xfId="548" xr:uid="{00000000-0005-0000-0000-0000EB010000}"/>
    <cellStyle name="Percent 4" xfId="216" xr:uid="{00000000-0005-0000-0000-0000EC010000}"/>
    <cellStyle name="Percent 5" xfId="549" xr:uid="{00000000-0005-0000-0000-0000ED010000}"/>
    <cellStyle name="Percent 5 2" xfId="550" xr:uid="{00000000-0005-0000-0000-0000EE010000}"/>
    <cellStyle name="Percent 5 3" xfId="551" xr:uid="{00000000-0005-0000-0000-0000EF010000}"/>
    <cellStyle name="Percent 6" xfId="552" xr:uid="{00000000-0005-0000-0000-0000F0010000}"/>
    <cellStyle name="Percent 7" xfId="217" xr:uid="{00000000-0005-0000-0000-0000F1010000}"/>
    <cellStyle name="Percent 8" xfId="47" xr:uid="{00000000-0005-0000-0000-0000F2010000}"/>
    <cellStyle name="Percentage" xfId="218" xr:uid="{00000000-0005-0000-0000-0000F3010000}"/>
    <cellStyle name="Period Title" xfId="219" xr:uid="{00000000-0005-0000-0000-0000F4010000}"/>
    <cellStyle name="PSChar" xfId="220" xr:uid="{00000000-0005-0000-0000-0000F5010000}"/>
    <cellStyle name="PSDate" xfId="221" xr:uid="{00000000-0005-0000-0000-0000F6010000}"/>
    <cellStyle name="PSDec" xfId="222" xr:uid="{00000000-0005-0000-0000-0000F7010000}"/>
    <cellStyle name="PSDetail" xfId="223" xr:uid="{00000000-0005-0000-0000-0000F8010000}"/>
    <cellStyle name="PSHeading" xfId="224" xr:uid="{00000000-0005-0000-0000-0000F9010000}"/>
    <cellStyle name="PSHeading 2" xfId="553" xr:uid="{00000000-0005-0000-0000-0000FA010000}"/>
    <cellStyle name="PSHeading 2 2" xfId="554" xr:uid="{00000000-0005-0000-0000-0000FB010000}"/>
    <cellStyle name="PSHeading 3" xfId="555" xr:uid="{00000000-0005-0000-0000-0000FC010000}"/>
    <cellStyle name="PSHeading 3 2" xfId="556" xr:uid="{00000000-0005-0000-0000-0000FD010000}"/>
    <cellStyle name="PSHeading 3 2 2" xfId="557" xr:uid="{00000000-0005-0000-0000-0000FE010000}"/>
    <cellStyle name="PSHeading 4" xfId="558" xr:uid="{00000000-0005-0000-0000-0000FF010000}"/>
    <cellStyle name="PSInt" xfId="225" xr:uid="{00000000-0005-0000-0000-000000020000}"/>
    <cellStyle name="PSSpacer" xfId="226" xr:uid="{00000000-0005-0000-0000-000001020000}"/>
    <cellStyle name="Ratio" xfId="227" xr:uid="{00000000-0005-0000-0000-000002020000}"/>
    <cellStyle name="Ratio 2" xfId="228" xr:uid="{00000000-0005-0000-0000-000003020000}"/>
    <cellStyle name="Ratio_29(d) - Gas extensions -tariffs" xfId="229" xr:uid="{00000000-0005-0000-0000-000004020000}"/>
    <cellStyle name="Right Date" xfId="230" xr:uid="{00000000-0005-0000-0000-000005020000}"/>
    <cellStyle name="Right Number" xfId="231" xr:uid="{00000000-0005-0000-0000-000006020000}"/>
    <cellStyle name="Right Year" xfId="232" xr:uid="{00000000-0005-0000-0000-000007020000}"/>
    <cellStyle name="RIN_Input$_3dp" xfId="559" xr:uid="{00000000-0005-0000-0000-000008020000}"/>
    <cellStyle name="SAPError" xfId="233" xr:uid="{00000000-0005-0000-0000-000009020000}"/>
    <cellStyle name="SAPError 2" xfId="234" xr:uid="{00000000-0005-0000-0000-00000A020000}"/>
    <cellStyle name="SAPKey" xfId="235" xr:uid="{00000000-0005-0000-0000-00000B020000}"/>
    <cellStyle name="SAPKey 2" xfId="236" xr:uid="{00000000-0005-0000-0000-00000C020000}"/>
    <cellStyle name="SAPLocked" xfId="237" xr:uid="{00000000-0005-0000-0000-00000D020000}"/>
    <cellStyle name="SAPLocked 2" xfId="238" xr:uid="{00000000-0005-0000-0000-00000E020000}"/>
    <cellStyle name="SAPOutput" xfId="239" xr:uid="{00000000-0005-0000-0000-00000F020000}"/>
    <cellStyle name="SAPOutput 2" xfId="240" xr:uid="{00000000-0005-0000-0000-000010020000}"/>
    <cellStyle name="SAPSpace" xfId="241" xr:uid="{00000000-0005-0000-0000-000011020000}"/>
    <cellStyle name="SAPSpace 2" xfId="242" xr:uid="{00000000-0005-0000-0000-000012020000}"/>
    <cellStyle name="SAPText" xfId="243" xr:uid="{00000000-0005-0000-0000-000013020000}"/>
    <cellStyle name="SAPText 2" xfId="244" xr:uid="{00000000-0005-0000-0000-000014020000}"/>
    <cellStyle name="SAPUnLocked" xfId="245" xr:uid="{00000000-0005-0000-0000-000015020000}"/>
    <cellStyle name="SAPUnLocked 2" xfId="246" xr:uid="{00000000-0005-0000-0000-000016020000}"/>
    <cellStyle name="Sheet Title" xfId="247" xr:uid="{00000000-0005-0000-0000-000017020000}"/>
    <cellStyle name="SheetHeader1" xfId="42" xr:uid="{00000000-0005-0000-0000-000018020000}"/>
    <cellStyle name="Style 1" xfId="248" xr:uid="{00000000-0005-0000-0000-000019020000}"/>
    <cellStyle name="Style 1 2" xfId="249" xr:uid="{00000000-0005-0000-0000-00001A020000}"/>
    <cellStyle name="Style 1 2 2" xfId="560" xr:uid="{00000000-0005-0000-0000-00001B020000}"/>
    <cellStyle name="Style 1 3" xfId="561" xr:uid="{00000000-0005-0000-0000-00001C020000}"/>
    <cellStyle name="Style 1 3 2" xfId="562" xr:uid="{00000000-0005-0000-0000-00001D020000}"/>
    <cellStyle name="Style 1 3 3" xfId="563" xr:uid="{00000000-0005-0000-0000-00001E020000}"/>
    <cellStyle name="Style 1 4" xfId="564" xr:uid="{00000000-0005-0000-0000-00001F020000}"/>
    <cellStyle name="Style 1_29(d) - Gas extensions -tariffs" xfId="250" xr:uid="{00000000-0005-0000-0000-000020020000}"/>
    <cellStyle name="Style2" xfId="251" xr:uid="{00000000-0005-0000-0000-000021020000}"/>
    <cellStyle name="Style3" xfId="252" xr:uid="{00000000-0005-0000-0000-000022020000}"/>
    <cellStyle name="Style4" xfId="253" xr:uid="{00000000-0005-0000-0000-000023020000}"/>
    <cellStyle name="Style4 2" xfId="254" xr:uid="{00000000-0005-0000-0000-000024020000}"/>
    <cellStyle name="Style4_29(d) - Gas extensions -tariffs" xfId="255" xr:uid="{00000000-0005-0000-0000-000025020000}"/>
    <cellStyle name="Style5" xfId="256" xr:uid="{00000000-0005-0000-0000-000026020000}"/>
    <cellStyle name="Style5 2" xfId="257" xr:uid="{00000000-0005-0000-0000-000027020000}"/>
    <cellStyle name="Style5_29(d) - Gas extensions -tariffs" xfId="258" xr:uid="{00000000-0005-0000-0000-000028020000}"/>
    <cellStyle name="Table Head Green" xfId="259" xr:uid="{00000000-0005-0000-0000-000029020000}"/>
    <cellStyle name="Table Head Green 2" xfId="287" xr:uid="{00000000-0005-0000-0000-00002A020000}"/>
    <cellStyle name="Table Head_pldt" xfId="260" xr:uid="{00000000-0005-0000-0000-00002B020000}"/>
    <cellStyle name="Table Source" xfId="261" xr:uid="{00000000-0005-0000-0000-00002C020000}"/>
    <cellStyle name="Table Units" xfId="262" xr:uid="{00000000-0005-0000-0000-00002D020000}"/>
    <cellStyle name="TableLvl2" xfId="39" xr:uid="{00000000-0005-0000-0000-00002E020000}"/>
    <cellStyle name="TableLvl3" xfId="38" xr:uid="{00000000-0005-0000-0000-00002F020000}"/>
    <cellStyle name="Text" xfId="263" xr:uid="{00000000-0005-0000-0000-000030020000}"/>
    <cellStyle name="Text 2" xfId="264" xr:uid="{00000000-0005-0000-0000-000031020000}"/>
    <cellStyle name="Text 3" xfId="265" xr:uid="{00000000-0005-0000-0000-000032020000}"/>
    <cellStyle name="Text Head 1" xfId="266" xr:uid="{00000000-0005-0000-0000-000033020000}"/>
    <cellStyle name="Text Head 2" xfId="267" xr:uid="{00000000-0005-0000-0000-000034020000}"/>
    <cellStyle name="Text Indent 2" xfId="268" xr:uid="{00000000-0005-0000-0000-000035020000}"/>
    <cellStyle name="Theirs" xfId="269" xr:uid="{00000000-0005-0000-0000-000036020000}"/>
    <cellStyle name="Title 2" xfId="270" xr:uid="{00000000-0005-0000-0000-000037020000}"/>
    <cellStyle name="TOC 1" xfId="271" xr:uid="{00000000-0005-0000-0000-000038020000}"/>
    <cellStyle name="TOC 2" xfId="272" xr:uid="{00000000-0005-0000-0000-000039020000}"/>
    <cellStyle name="TOC 3" xfId="273" xr:uid="{00000000-0005-0000-0000-00003A020000}"/>
    <cellStyle name="Total 2" xfId="274" xr:uid="{00000000-0005-0000-0000-00003B020000}"/>
    <cellStyle name="Total 2 2" xfId="565" xr:uid="{00000000-0005-0000-0000-00003C020000}"/>
    <cellStyle name="Total 2 3" xfId="566" xr:uid="{00000000-0005-0000-0000-00003D020000}"/>
    <cellStyle name="Warning Text 2" xfId="275" xr:uid="{00000000-0005-0000-0000-00003E020000}"/>
    <cellStyle name="year" xfId="276" xr:uid="{00000000-0005-0000-0000-00003F020000}"/>
    <cellStyle name="year 2" xfId="277" xr:uid="{00000000-0005-0000-0000-000040020000}"/>
    <cellStyle name="year 2 2" xfId="289" xr:uid="{00000000-0005-0000-0000-000041020000}"/>
    <cellStyle name="year 3" xfId="288" xr:uid="{00000000-0005-0000-0000-000042020000}"/>
    <cellStyle name="year_29(d) - Gas extensions -tariffs" xfId="278" xr:uid="{00000000-0005-0000-0000-000043020000}"/>
  </cellStyles>
  <dxfs count="16"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1048576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21BAB2E-1393-49F3-86CD-38D7BCB3A128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4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95" b="34613"/>
        <a:stretch/>
      </xdr:blipFill>
      <xdr:spPr bwMode="auto">
        <a:xfrm>
          <a:off x="0" y="0"/>
          <a:ext cx="7543800" cy="51054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285750</xdr:colOff>
      <xdr:row>13</xdr:row>
      <xdr:rowOff>38100</xdr:rowOff>
    </xdr:from>
    <xdr:to>
      <xdr:col>9</xdr:col>
      <xdr:colOff>600075</xdr:colOff>
      <xdr:row>25</xdr:row>
      <xdr:rowOff>171450</xdr:rowOff>
    </xdr:to>
    <xdr:sp macro="" textlink="">
      <xdr:nvSpPr>
        <xdr:cNvPr id="4" name="Rectangle: Diagonal Corners Snipped 3">
          <a:extLst>
            <a:ext uri="{FF2B5EF4-FFF2-40B4-BE49-F238E27FC236}">
              <a16:creationId xmlns:a16="http://schemas.microsoft.com/office/drawing/2014/main" id="{7B11E074-8B4C-41FB-B8FF-35A829191B2E}"/>
            </a:ext>
          </a:extLst>
        </xdr:cNvPr>
        <xdr:cNvSpPr/>
      </xdr:nvSpPr>
      <xdr:spPr>
        <a:xfrm>
          <a:off x="285750" y="2390775"/>
          <a:ext cx="6486525" cy="2305050"/>
        </a:xfrm>
        <a:prstGeom prst="snip2Diag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  <xdr:twoCellAnchor>
    <xdr:from>
      <xdr:col>0</xdr:col>
      <xdr:colOff>571500</xdr:colOff>
      <xdr:row>23</xdr:row>
      <xdr:rowOff>28575</xdr:rowOff>
    </xdr:from>
    <xdr:to>
      <xdr:col>4</xdr:col>
      <xdr:colOff>361950</xdr:colOff>
      <xdr:row>28</xdr:row>
      <xdr:rowOff>0</xdr:rowOff>
    </xdr:to>
    <xdr:sp macro="" textlink="">
      <xdr:nvSpPr>
        <xdr:cNvPr id="5" name="Text Box 8">
          <a:extLst>
            <a:ext uri="{FF2B5EF4-FFF2-40B4-BE49-F238E27FC236}">
              <a16:creationId xmlns:a16="http://schemas.microsoft.com/office/drawing/2014/main" id="{9222700C-3D00-43E1-BDB2-5252B402AC1E}"/>
            </a:ext>
          </a:extLst>
        </xdr:cNvPr>
        <xdr:cNvSpPr txBox="1"/>
      </xdr:nvSpPr>
      <xdr:spPr>
        <a:xfrm>
          <a:off x="571500" y="4191000"/>
          <a:ext cx="2533650" cy="8763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3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A3E0"/>
              </a:solidFill>
              <a:effectLst/>
              <a:latin typeface="FS Albert" panose="02000000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April 2022</a:t>
          </a:r>
          <a:endParaRPr lang="en-AU" sz="110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581025</xdr:colOff>
      <xdr:row>22</xdr:row>
      <xdr:rowOff>76200</xdr:rowOff>
    </xdr:from>
    <xdr:to>
      <xdr:col>3</xdr:col>
      <xdr:colOff>209550</xdr:colOff>
      <xdr:row>22</xdr:row>
      <xdr:rowOff>121285</xdr:rowOff>
    </xdr:to>
    <xdr:sp macro="" textlink="">
      <xdr:nvSpPr>
        <xdr:cNvPr id="6" name="object 9">
          <a:extLst>
            <a:ext uri="{FF2B5EF4-FFF2-40B4-BE49-F238E27FC236}">
              <a16:creationId xmlns:a16="http://schemas.microsoft.com/office/drawing/2014/main" id="{0E7C9AD4-739D-4677-A668-3C0D44485431}"/>
            </a:ext>
          </a:extLst>
        </xdr:cNvPr>
        <xdr:cNvSpPr/>
      </xdr:nvSpPr>
      <xdr:spPr>
        <a:xfrm>
          <a:off x="581025" y="4057650"/>
          <a:ext cx="1685925" cy="45085"/>
        </a:xfrm>
        <a:custGeom>
          <a:avLst/>
          <a:gdLst/>
          <a:ahLst/>
          <a:cxnLst/>
          <a:rect l="l" t="t" r="r" b="b"/>
          <a:pathLst>
            <a:path w="1543050">
              <a:moveTo>
                <a:pt x="0" y="0"/>
              </a:moveTo>
              <a:lnTo>
                <a:pt x="1542605" y="0"/>
              </a:lnTo>
            </a:path>
          </a:pathLst>
        </a:custGeom>
        <a:ln w="31750">
          <a:solidFill>
            <a:schemeClr val="bg2"/>
          </a:solidFill>
        </a:ln>
      </xdr:spPr>
      <xdr:txBody>
        <a:bodyPr wrap="square" lIns="0" tIns="0" rIns="0" bIns="0" rtlCol="0"/>
        <a:lstStyle/>
        <a:p>
          <a:endParaRPr lang="en-AU"/>
        </a:p>
      </xdr:txBody>
    </xdr:sp>
    <xdr:clientData/>
  </xdr:twoCellAnchor>
  <xdr:twoCellAnchor>
    <xdr:from>
      <xdr:col>0</xdr:col>
      <xdr:colOff>533400</xdr:colOff>
      <xdr:row>13</xdr:row>
      <xdr:rowOff>38100</xdr:rowOff>
    </xdr:from>
    <xdr:to>
      <xdr:col>9</xdr:col>
      <xdr:colOff>428625</xdr:colOff>
      <xdr:row>21</xdr:row>
      <xdr:rowOff>114300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id="{618C1958-DD4C-4BD2-84DB-C17FE699EAFB}"/>
            </a:ext>
          </a:extLst>
        </xdr:cNvPr>
        <xdr:cNvSpPr txBox="1"/>
      </xdr:nvSpPr>
      <xdr:spPr>
        <a:xfrm>
          <a:off x="533400" y="2390775"/>
          <a:ext cx="6067425" cy="15240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8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Attachment 1.7</a:t>
          </a:r>
          <a:endParaRPr lang="en-AU" sz="110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2800" b="1">
              <a:solidFill>
                <a:srgbClr val="003C71"/>
              </a:solidFill>
              <a:effectLst/>
              <a:latin typeface="Bree Serif SemiBold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Six month capex forecast</a:t>
          </a:r>
          <a:endParaRPr lang="en-AU" sz="110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8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Variation Proposal 2023</a:t>
          </a:r>
          <a:endParaRPr lang="en-AU" sz="110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136525</xdr:colOff>
      <xdr:row>6</xdr:row>
      <xdr:rowOff>10795</xdr:rowOff>
    </xdr:to>
    <xdr:pic>
      <xdr:nvPicPr>
        <xdr:cNvPr id="10" name="Picture 9" descr="Text&#10;&#10;Description automatically generated">
          <a:extLst>
            <a:ext uri="{FF2B5EF4-FFF2-40B4-BE49-F238E27FC236}">
              <a16:creationId xmlns:a16="http://schemas.microsoft.com/office/drawing/2014/main" id="{503DF2CA-E5A7-452D-8652-B054FDB4FBE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79725" cy="10966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GIG">
      <a:dk1>
        <a:sysClr val="windowText" lastClr="000000"/>
      </a:dk1>
      <a:lt1>
        <a:sysClr val="window" lastClr="FFFFFF"/>
      </a:lt1>
      <a:dk2>
        <a:srgbClr val="003C71"/>
      </a:dk2>
      <a:lt2>
        <a:srgbClr val="00A3E0"/>
      </a:lt2>
      <a:accent1>
        <a:srgbClr val="E35205"/>
      </a:accent1>
      <a:accent2>
        <a:srgbClr val="F2A900"/>
      </a:accent2>
      <a:accent3>
        <a:srgbClr val="43B02A"/>
      </a:accent3>
      <a:accent4>
        <a:srgbClr val="615E9B"/>
      </a:accent4>
      <a:accent5>
        <a:srgbClr val="B4B5DF"/>
      </a:accent5>
      <a:accent6>
        <a:srgbClr val="9CDBD9"/>
      </a:accent6>
      <a:hlink>
        <a:srgbClr val="DFA0C9"/>
      </a:hlink>
      <a:folHlink>
        <a:srgbClr val="9E007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5"/>
  <sheetViews>
    <sheetView workbookViewId="0">
      <selection activeCell="D10" sqref="D10:D12"/>
    </sheetView>
  </sheetViews>
  <sheetFormatPr defaultRowHeight="14.25"/>
  <sheetData>
    <row r="1" spans="1:4">
      <c r="B1" s="1">
        <v>2017</v>
      </c>
      <c r="C1" s="1">
        <v>2017</v>
      </c>
      <c r="D1" s="1">
        <v>2022</v>
      </c>
    </row>
    <row r="2" spans="1:4">
      <c r="B2">
        <v>2022</v>
      </c>
      <c r="C2" t="s">
        <v>5</v>
      </c>
    </row>
    <row r="3" spans="1:4">
      <c r="A3" t="s">
        <v>0</v>
      </c>
      <c r="B3">
        <v>72.853766461681886</v>
      </c>
      <c r="C3">
        <f>B3/2</f>
        <v>36.426883230840943</v>
      </c>
      <c r="D3">
        <f>C3*$C$15</f>
        <v>39.137504836487658</v>
      </c>
    </row>
    <row r="4" spans="1:4">
      <c r="A4" t="s">
        <v>1</v>
      </c>
      <c r="B4">
        <v>2.0935338363006499</v>
      </c>
      <c r="C4">
        <f>B4/2</f>
        <v>1.046766918150325</v>
      </c>
      <c r="D4">
        <f t="shared" ref="D4:D12" si="0">C4*$C$15</f>
        <v>1.1246596383820744</v>
      </c>
    </row>
    <row r="5" spans="1:4">
      <c r="A5" t="s">
        <v>3</v>
      </c>
      <c r="B5">
        <v>70.432935103350673</v>
      </c>
      <c r="D5">
        <f t="shared" si="0"/>
        <v>0</v>
      </c>
    </row>
    <row r="6" spans="1:4">
      <c r="A6" t="s">
        <v>4</v>
      </c>
      <c r="B6">
        <v>66.401528679742967</v>
      </c>
      <c r="C6">
        <f>B6*0.5</f>
        <v>33.200764339871483</v>
      </c>
      <c r="D6">
        <f t="shared" si="0"/>
        <v>35.671321828233438</v>
      </c>
    </row>
    <row r="7" spans="1:4">
      <c r="A7" t="s">
        <v>7</v>
      </c>
      <c r="C7">
        <v>0</v>
      </c>
      <c r="D7">
        <f>C7*$C$15</f>
        <v>0</v>
      </c>
    </row>
    <row r="8" spans="1:4">
      <c r="A8" t="s">
        <v>6</v>
      </c>
      <c r="C8">
        <f>0.31*0.5</f>
        <v>0.155</v>
      </c>
      <c r="D8">
        <f t="shared" si="0"/>
        <v>0.16653396369963167</v>
      </c>
    </row>
    <row r="9" spans="1:4">
      <c r="A9" t="s">
        <v>8</v>
      </c>
      <c r="B9">
        <v>68.665759752368629</v>
      </c>
      <c r="C9">
        <f>B9*0.5</f>
        <v>34.332879876184315</v>
      </c>
      <c r="D9">
        <f t="shared" si="0"/>
        <v>36.887681103253499</v>
      </c>
    </row>
    <row r="10" spans="1:4">
      <c r="A10" t="s">
        <v>9</v>
      </c>
      <c r="B10">
        <v>76.241314379865884</v>
      </c>
      <c r="C10">
        <f>B10*0.5</f>
        <v>38.120657189932942</v>
      </c>
      <c r="D10">
        <f t="shared" si="0"/>
        <v>40.957317036608998</v>
      </c>
    </row>
    <row r="11" spans="1:4">
      <c r="A11" t="s">
        <v>10</v>
      </c>
      <c r="C11">
        <v>0</v>
      </c>
      <c r="D11">
        <f t="shared" si="0"/>
        <v>0</v>
      </c>
    </row>
    <row r="12" spans="1:4">
      <c r="A12" t="s">
        <v>11</v>
      </c>
      <c r="C12">
        <f>B10*(0.62*(0.64%))/2</f>
        <v>0.15126276772965391</v>
      </c>
      <c r="D12">
        <f t="shared" si="0"/>
        <v>0.16251863400126451</v>
      </c>
    </row>
    <row r="15" spans="1:4">
      <c r="A15" t="s">
        <v>2</v>
      </c>
      <c r="C15" s="2">
        <v>1.0744126690298816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FBE81-8826-4576-A225-159681112A88}">
  <dimension ref="A1:K28"/>
  <sheetViews>
    <sheetView tabSelected="1" workbookViewId="0">
      <selection activeCell="A29" sqref="A29:XFD1048576"/>
    </sheetView>
  </sheetViews>
  <sheetFormatPr defaultColWidth="0" defaultRowHeight="14.25" customHeight="1" zeroHeight="1"/>
  <cols>
    <col min="1" max="11" width="9" style="12" customWidth="1"/>
    <col min="12" max="16384" width="9" style="12" hidden="1"/>
  </cols>
  <sheetData>
    <row r="1" s="12" customFormat="1"/>
    <row r="2" s="12" customFormat="1"/>
    <row r="3" s="12" customFormat="1"/>
    <row r="4" s="12" customFormat="1"/>
    <row r="5" s="12" customFormat="1"/>
    <row r="6" s="12" customFormat="1"/>
    <row r="7" s="12" customFormat="1"/>
    <row r="8" s="12" customFormat="1"/>
    <row r="9" s="12" customFormat="1"/>
    <row r="10" s="12" customFormat="1"/>
    <row r="11" s="12" customFormat="1"/>
    <row r="12" s="12" customFormat="1"/>
    <row r="13" s="12" customFormat="1"/>
    <row r="14" s="12" customFormat="1"/>
    <row r="15" s="12" customFormat="1"/>
    <row r="16" s="12" customFormat="1"/>
    <row r="17" s="12" customFormat="1"/>
    <row r="18" s="12" customFormat="1"/>
    <row r="19" s="12" customFormat="1"/>
    <row r="20" s="12" customFormat="1"/>
    <row r="21" s="12" customFormat="1"/>
    <row r="22" s="12" customFormat="1"/>
    <row r="23" s="12" customFormat="1"/>
    <row r="24" s="12" customFormat="1"/>
    <row r="25" s="12" customFormat="1"/>
    <row r="26" s="12" customFormat="1"/>
    <row r="27" s="12" customFormat="1"/>
    <row r="28" s="12" customFormat="1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72BA3-D6BE-4244-8DA8-5B0855E6B17C}">
  <sheetPr>
    <tabColor rgb="FFFFFF99"/>
  </sheetPr>
  <dimension ref="A1:X84"/>
  <sheetViews>
    <sheetView showGridLines="0" workbookViewId="0">
      <selection activeCell="Y1" sqref="Y1:AV1048576"/>
    </sheetView>
  </sheetViews>
  <sheetFormatPr defaultColWidth="0" defaultRowHeight="11.25" customHeight="1" zeroHeight="1"/>
  <cols>
    <col min="1" max="2" width="1" style="49" customWidth="1"/>
    <col min="3" max="3" width="8.375" style="49" bestFit="1" customWidth="1"/>
    <col min="4" max="4" width="15.375" style="50" bestFit="1" customWidth="1"/>
    <col min="5" max="5" width="15.375" style="50" customWidth="1"/>
    <col min="6" max="9" width="10.75" style="50" customWidth="1"/>
    <col min="10" max="10" width="2.375" style="50" customWidth="1"/>
    <col min="11" max="24" width="7.75" style="49" customWidth="1"/>
    <col min="25" max="48" width="7.5" style="49" hidden="1" customWidth="1"/>
    <col min="49" max="16384" width="7.5" style="49" hidden="1"/>
  </cols>
  <sheetData>
    <row r="1" spans="1:24" s="16" customFormat="1" ht="15.75">
      <c r="B1" s="17" t="s">
        <v>34</v>
      </c>
      <c r="C1" s="17"/>
      <c r="D1" s="17"/>
      <c r="E1" s="17"/>
      <c r="F1" s="17"/>
      <c r="G1" s="18"/>
      <c r="H1" s="18"/>
      <c r="I1" s="18"/>
      <c r="J1" s="18"/>
      <c r="K1" s="19" t="s">
        <v>35</v>
      </c>
      <c r="M1" s="20" t="s">
        <v>36</v>
      </c>
      <c r="N1" s="21" t="s">
        <v>37</v>
      </c>
      <c r="O1" s="22" t="s">
        <v>38</v>
      </c>
      <c r="P1" s="23" t="s">
        <v>39</v>
      </c>
      <c r="S1" s="20" t="s">
        <v>40</v>
      </c>
      <c r="T1" s="24" t="str">
        <f>IF(COUNTA($T$5:$T$73)=COUNTIF($T5:$T74,"OK"),"OK","Check")</f>
        <v>OK</v>
      </c>
      <c r="V1" s="25" t="s">
        <v>41</v>
      </c>
      <c r="W1" s="24" t="s">
        <v>42</v>
      </c>
    </row>
    <row r="2" spans="1:24" s="26" customFormat="1" ht="13.5" thickBot="1">
      <c r="B2" s="27" t="s">
        <v>55</v>
      </c>
      <c r="C2" s="27"/>
      <c r="D2" s="27"/>
      <c r="E2" s="27"/>
      <c r="F2" s="27"/>
      <c r="G2" s="28"/>
      <c r="H2" s="28"/>
      <c r="I2" s="28"/>
      <c r="J2" s="28"/>
    </row>
    <row r="3" spans="1:24" s="41" customFormat="1" ht="3" customHeight="1">
      <c r="D3" s="42"/>
      <c r="E3" s="42"/>
      <c r="F3" s="42"/>
      <c r="G3" s="42"/>
      <c r="H3" s="42"/>
      <c r="I3" s="42"/>
      <c r="J3" s="42"/>
    </row>
    <row r="4" spans="1:24" s="48" customFormat="1" ht="12.75">
      <c r="A4" s="43"/>
      <c r="B4" s="44" t="s">
        <v>56</v>
      </c>
      <c r="C4" s="43"/>
      <c r="D4" s="43"/>
      <c r="E4" s="43"/>
      <c r="F4" s="43"/>
      <c r="G4" s="45"/>
      <c r="H4" s="45"/>
      <c r="I4" s="45"/>
      <c r="J4" s="45"/>
      <c r="K4" s="46"/>
      <c r="L4" s="47"/>
      <c r="M4" s="46"/>
      <c r="N4" s="47"/>
      <c r="O4" s="46"/>
      <c r="P4" s="46"/>
      <c r="Q4" s="46"/>
      <c r="R4" s="46"/>
      <c r="S4" s="46"/>
      <c r="T4" s="46"/>
      <c r="U4" s="46"/>
      <c r="V4" s="46"/>
      <c r="W4" s="47"/>
      <c r="X4" s="47"/>
    </row>
    <row r="5" spans="1:24" ht="11.25" customHeight="1"/>
    <row r="6" spans="1:24" ht="53.25">
      <c r="D6" s="63" t="s">
        <v>57</v>
      </c>
      <c r="E6" s="63" t="s">
        <v>58</v>
      </c>
      <c r="F6" s="63" t="s">
        <v>57</v>
      </c>
      <c r="G6" s="63" t="s">
        <v>58</v>
      </c>
      <c r="H6" s="63"/>
      <c r="I6" s="49"/>
      <c r="J6" s="49"/>
    </row>
    <row r="7" spans="1:24">
      <c r="C7" s="54" t="s">
        <v>45</v>
      </c>
      <c r="D7" s="64" t="s">
        <v>59</v>
      </c>
      <c r="E7" s="64" t="s">
        <v>60</v>
      </c>
      <c r="F7" s="64" t="s">
        <v>59</v>
      </c>
      <c r="G7" s="64" t="s">
        <v>60</v>
      </c>
      <c r="H7" s="64"/>
      <c r="I7" s="49"/>
      <c r="J7" s="49"/>
    </row>
    <row r="8" spans="1:24">
      <c r="C8" s="54" t="s">
        <v>46</v>
      </c>
      <c r="D8" s="64" t="s">
        <v>61</v>
      </c>
      <c r="E8" s="64" t="s">
        <v>62</v>
      </c>
      <c r="F8" s="64" t="s">
        <v>61</v>
      </c>
      <c r="G8" s="64" t="s">
        <v>62</v>
      </c>
      <c r="H8" s="64"/>
      <c r="I8" s="49"/>
      <c r="J8" s="49"/>
    </row>
    <row r="9" spans="1:24">
      <c r="C9" s="65">
        <v>39172</v>
      </c>
      <c r="D9" s="66">
        <v>155.6</v>
      </c>
      <c r="E9" s="49"/>
      <c r="F9" s="49"/>
      <c r="G9" s="49"/>
      <c r="H9" s="49"/>
      <c r="I9" s="49"/>
      <c r="J9" s="49"/>
      <c r="T9" s="67" t="s">
        <v>42</v>
      </c>
    </row>
    <row r="10" spans="1:24">
      <c r="C10" s="65">
        <v>39263</v>
      </c>
      <c r="D10" s="66">
        <v>157.5</v>
      </c>
      <c r="E10" s="49"/>
      <c r="F10" s="49"/>
      <c r="G10" s="49"/>
      <c r="H10" s="49"/>
      <c r="I10" s="49"/>
      <c r="J10" s="49"/>
      <c r="T10" s="67" t="s">
        <v>42</v>
      </c>
    </row>
    <row r="11" spans="1:24">
      <c r="C11" s="65">
        <v>39355</v>
      </c>
      <c r="D11" s="66">
        <v>158.6</v>
      </c>
      <c r="E11" s="49"/>
      <c r="F11" s="49"/>
      <c r="G11" s="49"/>
      <c r="H11" s="49"/>
      <c r="I11" s="49"/>
      <c r="J11" s="49"/>
      <c r="T11" s="67" t="s">
        <v>42</v>
      </c>
    </row>
    <row r="12" spans="1:24">
      <c r="C12" s="65">
        <v>39447</v>
      </c>
      <c r="D12" s="66">
        <v>160.1</v>
      </c>
      <c r="E12" s="49"/>
      <c r="F12" s="49"/>
      <c r="G12" s="68"/>
      <c r="H12" s="49"/>
      <c r="I12" s="49"/>
      <c r="J12" s="49"/>
      <c r="T12" s="67" t="s">
        <v>42</v>
      </c>
    </row>
    <row r="13" spans="1:24">
      <c r="C13" s="65">
        <v>39538</v>
      </c>
      <c r="D13" s="66">
        <v>162.19999999999999</v>
      </c>
      <c r="E13" s="69">
        <f>D13/D9-1</f>
        <v>4.2416452442159303E-2</v>
      </c>
      <c r="F13" s="49"/>
      <c r="G13" s="68"/>
      <c r="H13" s="49"/>
      <c r="I13" s="49"/>
      <c r="J13" s="49"/>
      <c r="T13" s="67" t="s">
        <v>42</v>
      </c>
    </row>
    <row r="14" spans="1:24">
      <c r="C14" s="65">
        <v>39629</v>
      </c>
      <c r="D14" s="66">
        <v>164.6</v>
      </c>
      <c r="E14" s="69">
        <f t="shared" ref="E14:E29" si="0">D14/D10-1</f>
        <v>4.5079365079365052E-2</v>
      </c>
      <c r="F14" s="49"/>
      <c r="G14" s="68"/>
      <c r="H14" s="49"/>
      <c r="I14" s="49"/>
      <c r="J14" s="49"/>
      <c r="T14" s="67" t="s">
        <v>42</v>
      </c>
    </row>
    <row r="15" spans="1:24">
      <c r="C15" s="65">
        <v>39721</v>
      </c>
      <c r="D15" s="66">
        <v>166.5</v>
      </c>
      <c r="E15" s="69">
        <f t="shared" si="0"/>
        <v>4.9810844892812067E-2</v>
      </c>
      <c r="F15" s="49"/>
      <c r="G15" s="68"/>
      <c r="H15" s="49"/>
      <c r="I15" s="49"/>
      <c r="J15" s="49"/>
      <c r="T15" s="67" t="s">
        <v>42</v>
      </c>
    </row>
    <row r="16" spans="1:24">
      <c r="C16" s="65">
        <v>39813</v>
      </c>
      <c r="D16" s="66">
        <v>166</v>
      </c>
      <c r="E16" s="69">
        <f t="shared" si="0"/>
        <v>3.6851967520299844E-2</v>
      </c>
      <c r="F16" s="49"/>
      <c r="G16" s="68"/>
      <c r="H16" s="49"/>
      <c r="I16" s="49"/>
      <c r="J16" s="49"/>
      <c r="T16" s="67" t="s">
        <v>42</v>
      </c>
    </row>
    <row r="17" spans="3:20">
      <c r="C17" s="65">
        <v>39903</v>
      </c>
      <c r="D17" s="66">
        <v>166.2</v>
      </c>
      <c r="E17" s="69">
        <f t="shared" si="0"/>
        <v>2.4660912453760897E-2</v>
      </c>
      <c r="F17" s="49"/>
      <c r="G17" s="68"/>
      <c r="H17" s="49"/>
      <c r="I17" s="49"/>
      <c r="J17" s="49"/>
      <c r="T17" s="67" t="s">
        <v>42</v>
      </c>
    </row>
    <row r="18" spans="3:20">
      <c r="C18" s="65">
        <v>39994</v>
      </c>
      <c r="D18" s="66">
        <v>167</v>
      </c>
      <c r="E18" s="69">
        <f t="shared" si="0"/>
        <v>1.4580801944106936E-2</v>
      </c>
      <c r="F18" s="49"/>
      <c r="G18" s="68"/>
      <c r="H18" s="49"/>
      <c r="I18" s="49"/>
      <c r="J18" s="49"/>
      <c r="T18" s="67" t="s">
        <v>42</v>
      </c>
    </row>
    <row r="19" spans="3:20">
      <c r="C19" s="65">
        <v>40086</v>
      </c>
      <c r="D19" s="66">
        <v>168.6</v>
      </c>
      <c r="E19" s="69">
        <f t="shared" si="0"/>
        <v>1.2612612612612484E-2</v>
      </c>
      <c r="F19" s="49"/>
      <c r="G19" s="68"/>
      <c r="H19" s="49"/>
      <c r="I19" s="49"/>
      <c r="J19" s="49"/>
      <c r="T19" s="67" t="s">
        <v>42</v>
      </c>
    </row>
    <row r="20" spans="3:20">
      <c r="C20" s="65">
        <v>40178</v>
      </c>
      <c r="D20" s="66">
        <v>169.5</v>
      </c>
      <c r="E20" s="69">
        <f t="shared" si="0"/>
        <v>2.108433734939763E-2</v>
      </c>
      <c r="F20" s="49"/>
      <c r="G20" s="68"/>
      <c r="H20" s="49"/>
      <c r="I20" s="49"/>
      <c r="J20" s="49"/>
      <c r="T20" s="67" t="s">
        <v>42</v>
      </c>
    </row>
    <row r="21" spans="3:20">
      <c r="C21" s="65">
        <v>40268</v>
      </c>
      <c r="D21" s="66">
        <v>171</v>
      </c>
      <c r="E21" s="69">
        <f t="shared" si="0"/>
        <v>2.8880866425992746E-2</v>
      </c>
      <c r="F21" s="66">
        <v>95.2</v>
      </c>
      <c r="G21" s="68"/>
      <c r="H21" s="70"/>
      <c r="I21" s="49"/>
      <c r="J21" s="49"/>
      <c r="T21" s="67" t="s">
        <v>42</v>
      </c>
    </row>
    <row r="22" spans="3:20">
      <c r="C22" s="65">
        <v>40359</v>
      </c>
      <c r="D22" s="66">
        <v>172.1</v>
      </c>
      <c r="E22" s="69">
        <f t="shared" si="0"/>
        <v>3.0538922155688653E-2</v>
      </c>
      <c r="F22" s="66">
        <v>95.8</v>
      </c>
      <c r="G22" s="68"/>
      <c r="H22" s="70"/>
      <c r="I22" s="49"/>
      <c r="J22" s="49"/>
      <c r="T22" s="67" t="s">
        <v>42</v>
      </c>
    </row>
    <row r="23" spans="3:20">
      <c r="C23" s="65">
        <v>40451</v>
      </c>
      <c r="D23" s="66">
        <v>173.3</v>
      </c>
      <c r="E23" s="69">
        <f t="shared" si="0"/>
        <v>2.7876631079478242E-2</v>
      </c>
      <c r="F23" s="66">
        <v>96.5</v>
      </c>
      <c r="G23" s="68"/>
      <c r="H23" s="70"/>
      <c r="I23" s="49"/>
      <c r="J23" s="49"/>
      <c r="T23" s="67" t="s">
        <v>42</v>
      </c>
    </row>
    <row r="24" spans="3:20">
      <c r="C24" s="65">
        <v>40543</v>
      </c>
      <c r="D24" s="66">
        <v>174</v>
      </c>
      <c r="E24" s="69">
        <f t="shared" si="0"/>
        <v>2.6548672566371723E-2</v>
      </c>
      <c r="F24" s="66">
        <v>96.9</v>
      </c>
      <c r="G24" s="68"/>
      <c r="H24" s="70"/>
      <c r="I24" s="49"/>
      <c r="J24" s="49"/>
      <c r="T24" s="67" t="s">
        <v>42</v>
      </c>
    </row>
    <row r="25" spans="3:20">
      <c r="C25" s="65">
        <v>40633</v>
      </c>
      <c r="D25" s="66">
        <v>176.7</v>
      </c>
      <c r="E25" s="69">
        <f t="shared" si="0"/>
        <v>3.3333333333333215E-2</v>
      </c>
      <c r="F25" s="66">
        <v>98.3</v>
      </c>
      <c r="G25" s="69">
        <f>IF(ISBLANK(F25),"",F25/F21-1)</f>
        <v>3.2563025210083918E-2</v>
      </c>
      <c r="H25" s="70"/>
      <c r="I25" s="49"/>
      <c r="J25" s="49"/>
      <c r="T25" s="67" t="s">
        <v>42</v>
      </c>
    </row>
    <row r="26" spans="3:20">
      <c r="C26" s="65">
        <v>40724</v>
      </c>
      <c r="D26" s="66">
        <v>178.3</v>
      </c>
      <c r="E26" s="69">
        <f t="shared" si="0"/>
        <v>3.6025566531086683E-2</v>
      </c>
      <c r="F26" s="66">
        <v>99.2</v>
      </c>
      <c r="G26" s="69">
        <f t="shared" ref="G26:G72" si="1">IF(ISBLANK(F26),"",F26/F22-1)</f>
        <v>3.5490605427975108E-2</v>
      </c>
      <c r="H26" s="70"/>
      <c r="I26" s="49"/>
      <c r="J26" s="49"/>
      <c r="T26" s="67" t="s">
        <v>42</v>
      </c>
    </row>
    <row r="27" spans="3:20">
      <c r="C27" s="65">
        <v>40816</v>
      </c>
      <c r="D27" s="66">
        <v>179.4</v>
      </c>
      <c r="E27" s="69">
        <f t="shared" si="0"/>
        <v>3.5199076745527913E-2</v>
      </c>
      <c r="F27" s="66">
        <v>99.8</v>
      </c>
      <c r="G27" s="69">
        <f t="shared" si="1"/>
        <v>3.4196891191709877E-2</v>
      </c>
      <c r="H27" s="70"/>
      <c r="I27" s="49"/>
      <c r="J27" s="49"/>
      <c r="T27" s="67" t="s">
        <v>42</v>
      </c>
    </row>
    <row r="28" spans="3:20">
      <c r="C28" s="65">
        <v>40908</v>
      </c>
      <c r="D28" s="66">
        <v>179.4</v>
      </c>
      <c r="E28" s="69">
        <f t="shared" si="0"/>
        <v>3.1034482758620641E-2</v>
      </c>
      <c r="F28" s="66">
        <v>99.8</v>
      </c>
      <c r="G28" s="69">
        <f t="shared" si="1"/>
        <v>2.9927760577915352E-2</v>
      </c>
      <c r="H28" s="70"/>
      <c r="I28" s="49"/>
      <c r="J28" s="49"/>
      <c r="T28" s="67" t="s">
        <v>42</v>
      </c>
    </row>
    <row r="29" spans="3:20">
      <c r="C29" s="65">
        <v>40999</v>
      </c>
      <c r="D29" s="66">
        <v>179.5</v>
      </c>
      <c r="E29" s="69">
        <f t="shared" si="0"/>
        <v>1.5846066779853007E-2</v>
      </c>
      <c r="F29" s="66">
        <v>99.9</v>
      </c>
      <c r="G29" s="69">
        <f t="shared" si="1"/>
        <v>1.6276703967446737E-2</v>
      </c>
      <c r="H29" s="70"/>
      <c r="I29" s="49"/>
      <c r="J29" s="49"/>
      <c r="T29" s="67" t="s">
        <v>42</v>
      </c>
    </row>
    <row r="30" spans="3:20">
      <c r="C30" s="65">
        <v>41090</v>
      </c>
      <c r="D30" s="49"/>
      <c r="E30" s="49"/>
      <c r="F30" s="66">
        <v>100.4</v>
      </c>
      <c r="G30" s="69">
        <f t="shared" si="1"/>
        <v>1.2096774193548487E-2</v>
      </c>
      <c r="H30" s="70"/>
      <c r="I30" s="49"/>
      <c r="J30" s="49"/>
      <c r="T30" s="67" t="s">
        <v>42</v>
      </c>
    </row>
    <row r="31" spans="3:20">
      <c r="C31" s="65">
        <v>41182</v>
      </c>
      <c r="D31" s="49"/>
      <c r="E31" s="49"/>
      <c r="F31" s="66">
        <v>101.8</v>
      </c>
      <c r="G31" s="69">
        <f t="shared" si="1"/>
        <v>2.0040080160320661E-2</v>
      </c>
      <c r="H31" s="70"/>
      <c r="I31" s="49"/>
      <c r="J31" s="49"/>
      <c r="T31" s="67" t="s">
        <v>42</v>
      </c>
    </row>
    <row r="32" spans="3:20">
      <c r="C32" s="65">
        <v>41274</v>
      </c>
      <c r="D32" s="49"/>
      <c r="E32" s="49"/>
      <c r="F32" s="66">
        <v>102</v>
      </c>
      <c r="G32" s="69">
        <f t="shared" si="1"/>
        <v>2.2044088176352838E-2</v>
      </c>
      <c r="H32" s="70"/>
      <c r="I32" s="49"/>
      <c r="J32" s="49"/>
      <c r="T32" s="67" t="s">
        <v>42</v>
      </c>
    </row>
    <row r="33" spans="3:20">
      <c r="C33" s="65">
        <v>41364</v>
      </c>
      <c r="D33" s="49"/>
      <c r="E33" s="49"/>
      <c r="F33" s="66">
        <v>102.4</v>
      </c>
      <c r="G33" s="69">
        <f t="shared" si="1"/>
        <v>2.5025025025025016E-2</v>
      </c>
      <c r="H33" s="70"/>
      <c r="I33" s="49"/>
      <c r="J33" s="49"/>
      <c r="T33" s="67" t="s">
        <v>42</v>
      </c>
    </row>
    <row r="34" spans="3:20">
      <c r="C34" s="65">
        <v>41455</v>
      </c>
      <c r="D34" s="49"/>
      <c r="E34" s="49"/>
      <c r="F34" s="66">
        <v>102.8</v>
      </c>
      <c r="G34" s="69">
        <f t="shared" si="1"/>
        <v>2.3904382470119501E-2</v>
      </c>
      <c r="H34" s="70"/>
      <c r="I34" s="49"/>
      <c r="J34" s="49"/>
      <c r="T34" s="67" t="s">
        <v>42</v>
      </c>
    </row>
    <row r="35" spans="3:20">
      <c r="C35" s="65">
        <v>41547</v>
      </c>
      <c r="D35" s="49"/>
      <c r="E35" s="49"/>
      <c r="F35" s="66">
        <v>104</v>
      </c>
      <c r="G35" s="69">
        <f t="shared" si="1"/>
        <v>2.16110019646365E-2</v>
      </c>
      <c r="H35" s="70"/>
      <c r="I35" s="49"/>
      <c r="J35" s="49"/>
      <c r="T35" s="67" t="s">
        <v>42</v>
      </c>
    </row>
    <row r="36" spans="3:20">
      <c r="C36" s="65">
        <v>41639</v>
      </c>
      <c r="D36" s="49"/>
      <c r="E36" s="49"/>
      <c r="F36" s="66">
        <v>104.8</v>
      </c>
      <c r="G36" s="69">
        <f t="shared" si="1"/>
        <v>2.7450980392156765E-2</v>
      </c>
      <c r="H36" s="70"/>
      <c r="I36" s="49"/>
      <c r="J36" s="49"/>
      <c r="T36" s="67" t="s">
        <v>42</v>
      </c>
    </row>
    <row r="37" spans="3:20">
      <c r="C37" s="65">
        <v>41729</v>
      </c>
      <c r="D37" s="49"/>
      <c r="E37" s="49"/>
      <c r="F37" s="66">
        <v>105.4</v>
      </c>
      <c r="G37" s="69">
        <f t="shared" si="1"/>
        <v>2.9296875E-2</v>
      </c>
      <c r="H37" s="70"/>
      <c r="I37" s="49"/>
      <c r="J37" s="49"/>
      <c r="T37" s="67" t="s">
        <v>42</v>
      </c>
    </row>
    <row r="38" spans="3:20">
      <c r="C38" s="65">
        <v>41820</v>
      </c>
      <c r="D38" s="49"/>
      <c r="E38" s="49"/>
      <c r="F38" s="66">
        <v>105.9</v>
      </c>
      <c r="G38" s="69">
        <f t="shared" si="1"/>
        <v>3.0155642023346418E-2</v>
      </c>
      <c r="H38" s="70"/>
      <c r="I38" s="49"/>
      <c r="J38" s="49"/>
      <c r="T38" s="67" t="s">
        <v>42</v>
      </c>
    </row>
    <row r="39" spans="3:20">
      <c r="C39" s="65">
        <v>41912</v>
      </c>
      <c r="D39" s="49"/>
      <c r="E39" s="49"/>
      <c r="F39" s="66">
        <v>106.4</v>
      </c>
      <c r="G39" s="69">
        <f t="shared" si="1"/>
        <v>2.3076923076923217E-2</v>
      </c>
      <c r="H39" s="70"/>
      <c r="I39" s="49"/>
      <c r="J39" s="49"/>
      <c r="T39" s="67" t="s">
        <v>42</v>
      </c>
    </row>
    <row r="40" spans="3:20">
      <c r="C40" s="65">
        <v>42004</v>
      </c>
      <c r="D40" s="49"/>
      <c r="E40" s="49"/>
      <c r="F40" s="66">
        <v>106.6</v>
      </c>
      <c r="G40" s="69">
        <f t="shared" si="1"/>
        <v>1.7175572519083859E-2</v>
      </c>
      <c r="H40" s="70"/>
      <c r="I40" s="49"/>
      <c r="J40" s="49"/>
      <c r="T40" s="67" t="s">
        <v>42</v>
      </c>
    </row>
    <row r="41" spans="3:20">
      <c r="C41" s="65">
        <v>42094</v>
      </c>
      <c r="D41" s="49"/>
      <c r="E41" s="49"/>
      <c r="F41" s="66">
        <v>106.8</v>
      </c>
      <c r="G41" s="69">
        <f t="shared" si="1"/>
        <v>1.3282732447817747E-2</v>
      </c>
      <c r="H41" s="70"/>
      <c r="I41" s="49"/>
      <c r="J41" s="49"/>
      <c r="T41" s="67" t="s">
        <v>42</v>
      </c>
    </row>
    <row r="42" spans="3:20">
      <c r="C42" s="65">
        <v>42185</v>
      </c>
      <c r="D42" s="49"/>
      <c r="E42" s="49"/>
      <c r="F42" s="66">
        <v>107.5</v>
      </c>
      <c r="G42" s="69">
        <f t="shared" si="1"/>
        <v>1.5108593012275628E-2</v>
      </c>
      <c r="H42" s="70"/>
      <c r="I42" s="49"/>
      <c r="J42" s="49"/>
      <c r="T42" s="67" t="s">
        <v>42</v>
      </c>
    </row>
    <row r="43" spans="3:20">
      <c r="C43" s="65">
        <v>42277</v>
      </c>
      <c r="D43" s="49"/>
      <c r="E43" s="49"/>
      <c r="F43" s="66">
        <v>108</v>
      </c>
      <c r="G43" s="69">
        <f t="shared" si="1"/>
        <v>1.5037593984962294E-2</v>
      </c>
      <c r="H43" s="70"/>
      <c r="I43" s="49"/>
      <c r="J43" s="49"/>
      <c r="T43" s="67" t="s">
        <v>42</v>
      </c>
    </row>
    <row r="44" spans="3:20">
      <c r="C44" s="65">
        <v>42369</v>
      </c>
      <c r="D44" s="49"/>
      <c r="E44" s="49"/>
      <c r="F44" s="66">
        <v>108.4</v>
      </c>
      <c r="G44" s="69">
        <f t="shared" si="1"/>
        <v>1.6885553470919357E-2</v>
      </c>
      <c r="H44" s="70"/>
      <c r="I44" s="49"/>
      <c r="J44" s="49"/>
      <c r="T44" s="67" t="s">
        <v>42</v>
      </c>
    </row>
    <row r="45" spans="3:20">
      <c r="C45" s="65">
        <v>42460</v>
      </c>
      <c r="D45" s="49"/>
      <c r="E45" s="49"/>
      <c r="F45" s="66">
        <v>108.2</v>
      </c>
      <c r="G45" s="69">
        <f t="shared" si="1"/>
        <v>1.3108614232209881E-2</v>
      </c>
      <c r="H45" s="70"/>
      <c r="I45" s="49"/>
      <c r="J45" s="49"/>
      <c r="T45" s="67" t="s">
        <v>42</v>
      </c>
    </row>
    <row r="46" spans="3:20">
      <c r="C46" s="65">
        <v>42551</v>
      </c>
      <c r="D46" s="49"/>
      <c r="E46" s="49"/>
      <c r="F46" s="66">
        <v>108.6</v>
      </c>
      <c r="G46" s="69">
        <f t="shared" si="1"/>
        <v>1.0232558139534831E-2</v>
      </c>
      <c r="H46" s="70"/>
      <c r="I46" s="49"/>
      <c r="J46" s="49"/>
      <c r="T46" s="67" t="s">
        <v>42</v>
      </c>
    </row>
    <row r="47" spans="3:20">
      <c r="C47" s="65">
        <v>42643</v>
      </c>
      <c r="D47" s="49"/>
      <c r="E47" s="49"/>
      <c r="F47" s="66">
        <v>109.4</v>
      </c>
      <c r="G47" s="69">
        <f t="shared" si="1"/>
        <v>1.2962962962963065E-2</v>
      </c>
      <c r="H47" s="70"/>
      <c r="I47" s="49"/>
      <c r="J47" s="49"/>
      <c r="T47" s="67" t="s">
        <v>42</v>
      </c>
    </row>
    <row r="48" spans="3:20">
      <c r="C48" s="65">
        <v>42735</v>
      </c>
      <c r="D48" s="49"/>
      <c r="E48" s="49"/>
      <c r="F48" s="66">
        <v>110</v>
      </c>
      <c r="G48" s="69">
        <f t="shared" si="1"/>
        <v>1.4760147601476037E-2</v>
      </c>
      <c r="H48" s="70"/>
      <c r="I48" s="49"/>
      <c r="J48" s="49"/>
      <c r="T48" s="67" t="s">
        <v>42</v>
      </c>
    </row>
    <row r="49" spans="3:20">
      <c r="C49" s="65">
        <v>42825</v>
      </c>
      <c r="D49" s="49"/>
      <c r="E49" s="49"/>
      <c r="F49" s="66">
        <v>110.5</v>
      </c>
      <c r="G49" s="69">
        <f t="shared" si="1"/>
        <v>2.1256931608133023E-2</v>
      </c>
      <c r="H49" s="70"/>
      <c r="I49" s="49"/>
      <c r="J49" s="49"/>
      <c r="T49" s="67" t="s">
        <v>42</v>
      </c>
    </row>
    <row r="50" spans="3:20">
      <c r="C50" s="65">
        <v>42916</v>
      </c>
      <c r="D50" s="49"/>
      <c r="E50" s="49"/>
      <c r="F50" s="66">
        <v>110.7</v>
      </c>
      <c r="G50" s="69">
        <f t="shared" si="1"/>
        <v>1.9337016574585641E-2</v>
      </c>
      <c r="H50" s="71"/>
      <c r="I50" s="49"/>
      <c r="J50" s="49"/>
      <c r="T50" s="67" t="s">
        <v>42</v>
      </c>
    </row>
    <row r="51" spans="3:20">
      <c r="C51" s="65">
        <v>43008</v>
      </c>
      <c r="D51" s="49"/>
      <c r="E51" s="49"/>
      <c r="F51" s="66">
        <v>111.4</v>
      </c>
      <c r="G51" s="69">
        <f t="shared" si="1"/>
        <v>1.8281535648994485E-2</v>
      </c>
      <c r="H51" s="70"/>
      <c r="I51" s="49"/>
      <c r="J51" s="49"/>
      <c r="T51" s="67" t="s">
        <v>42</v>
      </c>
    </row>
    <row r="52" spans="3:20">
      <c r="C52" s="65">
        <v>43100</v>
      </c>
      <c r="D52" s="49"/>
      <c r="E52" s="49"/>
      <c r="F52" s="66">
        <v>112.1</v>
      </c>
      <c r="G52" s="69">
        <f t="shared" si="1"/>
        <v>1.9090909090909047E-2</v>
      </c>
      <c r="H52" s="70"/>
      <c r="I52" s="49"/>
      <c r="J52" s="49"/>
      <c r="T52" s="67" t="s">
        <v>42</v>
      </c>
    </row>
    <row r="53" spans="3:20">
      <c r="C53" s="65">
        <v>43190</v>
      </c>
      <c r="D53" s="49"/>
      <c r="E53" s="49"/>
      <c r="F53" s="66">
        <v>112.6</v>
      </c>
      <c r="G53" s="69">
        <f t="shared" si="1"/>
        <v>1.9004524886877761E-2</v>
      </c>
      <c r="H53" s="70"/>
      <c r="I53" s="49"/>
      <c r="J53" s="49"/>
      <c r="T53" s="67" t="s">
        <v>42</v>
      </c>
    </row>
    <row r="54" spans="3:20">
      <c r="C54" s="65">
        <v>43281</v>
      </c>
      <c r="D54" s="49"/>
      <c r="E54" s="49"/>
      <c r="F54" s="66">
        <v>113</v>
      </c>
      <c r="G54" s="69">
        <f t="shared" si="1"/>
        <v>2.0776874435411097E-2</v>
      </c>
      <c r="H54" s="70"/>
      <c r="I54" s="49"/>
      <c r="J54" s="49"/>
      <c r="T54" s="67" t="s">
        <v>42</v>
      </c>
    </row>
    <row r="55" spans="3:20">
      <c r="C55" s="65">
        <v>43373</v>
      </c>
      <c r="D55" s="49"/>
      <c r="E55" s="49"/>
      <c r="F55" s="66">
        <v>113.5</v>
      </c>
      <c r="G55" s="69">
        <f t="shared" si="1"/>
        <v>1.8850987432674993E-2</v>
      </c>
      <c r="H55" s="70"/>
      <c r="I55" s="72"/>
      <c r="J55" s="49"/>
      <c r="T55" s="67" t="s">
        <v>42</v>
      </c>
    </row>
    <row r="56" spans="3:20">
      <c r="C56" s="65">
        <v>43465</v>
      </c>
      <c r="D56" s="49"/>
      <c r="E56" s="49"/>
      <c r="F56" s="66">
        <v>114.1</v>
      </c>
      <c r="G56" s="69">
        <f t="shared" si="1"/>
        <v>1.7841213202497874E-2</v>
      </c>
      <c r="H56" s="70"/>
      <c r="J56" s="49"/>
      <c r="T56" s="67" t="s">
        <v>42</v>
      </c>
    </row>
    <row r="57" spans="3:20">
      <c r="C57" s="65">
        <v>43555</v>
      </c>
      <c r="D57" s="49"/>
      <c r="E57" s="49"/>
      <c r="F57" s="66">
        <v>114.1</v>
      </c>
      <c r="G57" s="69">
        <f t="shared" si="1"/>
        <v>1.3321492007104752E-2</v>
      </c>
      <c r="H57" s="70"/>
      <c r="I57" s="49"/>
      <c r="J57" s="49"/>
      <c r="T57" s="67" t="s">
        <v>42</v>
      </c>
    </row>
    <row r="58" spans="3:20">
      <c r="C58" s="65">
        <v>43646</v>
      </c>
      <c r="D58" s="49"/>
      <c r="E58" s="49"/>
      <c r="F58" s="66">
        <v>114.8</v>
      </c>
      <c r="G58" s="69">
        <f t="shared" si="1"/>
        <v>1.5929203539823078E-2</v>
      </c>
      <c r="I58" s="49"/>
      <c r="J58" s="49"/>
      <c r="T58" s="67" t="s">
        <v>42</v>
      </c>
    </row>
    <row r="59" spans="3:20">
      <c r="C59" s="65">
        <v>43738</v>
      </c>
      <c r="D59" s="49"/>
      <c r="E59" s="49"/>
      <c r="F59" s="66">
        <v>115.4</v>
      </c>
      <c r="G59" s="69">
        <f t="shared" si="1"/>
        <v>1.6740088105726914E-2</v>
      </c>
      <c r="H59" s="70"/>
      <c r="I59" s="49"/>
      <c r="J59" s="49"/>
      <c r="T59" s="67" t="s">
        <v>42</v>
      </c>
    </row>
    <row r="60" spans="3:20">
      <c r="C60" s="65">
        <v>43830</v>
      </c>
      <c r="D60" s="49"/>
      <c r="E60" s="49"/>
      <c r="F60" s="66">
        <v>116.2</v>
      </c>
      <c r="G60" s="69">
        <f t="shared" si="1"/>
        <v>1.8404907975460238E-2</v>
      </c>
      <c r="H60" s="70"/>
      <c r="I60" s="49"/>
      <c r="J60" s="49"/>
      <c r="N60" s="72"/>
      <c r="T60" s="67" t="s">
        <v>42</v>
      </c>
    </row>
    <row r="61" spans="3:20">
      <c r="C61" s="65">
        <v>43921</v>
      </c>
      <c r="D61" s="49"/>
      <c r="E61" s="49"/>
      <c r="F61" s="66">
        <v>116.6</v>
      </c>
      <c r="G61" s="69">
        <f t="shared" si="1"/>
        <v>2.1910604732690686E-2</v>
      </c>
      <c r="H61" s="70"/>
      <c r="I61" s="49"/>
      <c r="J61" s="49"/>
      <c r="T61" s="67" t="s">
        <v>42</v>
      </c>
    </row>
    <row r="62" spans="3:20">
      <c r="C62" s="65">
        <v>44012</v>
      </c>
      <c r="D62" s="49"/>
      <c r="E62" s="49"/>
      <c r="F62" s="66">
        <v>114.4</v>
      </c>
      <c r="G62" s="69">
        <f t="shared" si="1"/>
        <v>-3.4843205574912606E-3</v>
      </c>
      <c r="H62" s="70"/>
      <c r="I62" s="49"/>
      <c r="J62" s="49"/>
      <c r="T62" s="67" t="s">
        <v>42</v>
      </c>
    </row>
    <row r="63" spans="3:20">
      <c r="C63" s="65">
        <v>44104</v>
      </c>
      <c r="D63" s="49"/>
      <c r="E63" s="49"/>
      <c r="F63" s="66">
        <v>116.2</v>
      </c>
      <c r="G63" s="69">
        <f t="shared" si="1"/>
        <v>6.9324090121316573E-3</v>
      </c>
      <c r="H63" s="70"/>
      <c r="I63" s="49"/>
      <c r="J63" s="49"/>
      <c r="T63" s="67" t="s">
        <v>42</v>
      </c>
    </row>
    <row r="64" spans="3:20">
      <c r="C64" s="65">
        <v>44196</v>
      </c>
      <c r="D64" s="49"/>
      <c r="E64" s="49"/>
      <c r="F64" s="66">
        <v>117.2</v>
      </c>
      <c r="G64" s="69">
        <f t="shared" si="1"/>
        <v>8.6058519793459354E-3</v>
      </c>
      <c r="H64" s="70"/>
      <c r="I64" s="49"/>
      <c r="J64" s="49"/>
      <c r="N64" s="72"/>
      <c r="T64" s="67" t="s">
        <v>42</v>
      </c>
    </row>
    <row r="65" spans="1:24">
      <c r="C65" s="65">
        <v>44286</v>
      </c>
      <c r="D65" s="49"/>
      <c r="E65" s="49"/>
      <c r="F65" s="66">
        <v>117.9</v>
      </c>
      <c r="G65" s="69">
        <f t="shared" si="1"/>
        <v>1.1149228130360234E-2</v>
      </c>
      <c r="H65" s="70"/>
      <c r="I65" s="49"/>
      <c r="J65" s="49"/>
      <c r="N65" s="72"/>
      <c r="T65" s="73"/>
    </row>
    <row r="66" spans="1:24">
      <c r="C66" s="65">
        <v>44377</v>
      </c>
      <c r="D66" s="49"/>
      <c r="E66" s="49"/>
      <c r="F66" s="66">
        <v>118.8</v>
      </c>
      <c r="G66" s="69">
        <f t="shared" si="1"/>
        <v>3.8461538461538325E-2</v>
      </c>
      <c r="H66" s="70"/>
      <c r="I66" s="49"/>
      <c r="J66" s="49"/>
      <c r="N66" s="72"/>
      <c r="T66" s="73"/>
    </row>
    <row r="67" spans="1:24">
      <c r="C67" s="65">
        <v>44469</v>
      </c>
      <c r="D67" s="49"/>
      <c r="E67" s="49"/>
      <c r="F67" s="66">
        <v>119.7</v>
      </c>
      <c r="G67" s="69">
        <f t="shared" si="1"/>
        <v>3.0120481927710774E-2</v>
      </c>
      <c r="H67" s="70"/>
      <c r="I67" s="49"/>
      <c r="J67" s="49"/>
      <c r="N67" s="72"/>
      <c r="T67" s="73"/>
    </row>
    <row r="68" spans="1:24">
      <c r="C68" s="65">
        <v>44561</v>
      </c>
      <c r="D68" s="49"/>
      <c r="E68" s="49"/>
      <c r="F68" s="66">
        <v>121.3</v>
      </c>
      <c r="G68" s="69">
        <f t="shared" si="1"/>
        <v>3.4982935153583528E-2</v>
      </c>
      <c r="H68" s="70"/>
      <c r="I68" s="49"/>
      <c r="J68" s="49"/>
      <c r="N68" s="72"/>
      <c r="T68" s="73"/>
    </row>
    <row r="69" spans="1:24">
      <c r="C69" s="65">
        <v>44651</v>
      </c>
      <c r="D69" s="49"/>
      <c r="E69" s="49"/>
      <c r="F69" s="66">
        <f>AVERAGE(F68,F70)</f>
        <v>122.2775</v>
      </c>
      <c r="G69" s="69">
        <f t="shared" si="1"/>
        <v>3.7128922815945709E-2</v>
      </c>
      <c r="H69" s="70" t="s">
        <v>63</v>
      </c>
      <c r="I69" s="49"/>
      <c r="J69" s="49"/>
      <c r="N69" s="72"/>
      <c r="T69" s="73"/>
    </row>
    <row r="70" spans="1:24">
      <c r="C70" s="65">
        <v>44742</v>
      </c>
      <c r="D70" s="49"/>
      <c r="E70" s="49"/>
      <c r="F70" s="66">
        <f>F66*(1+3.75%)</f>
        <v>123.25500000000001</v>
      </c>
      <c r="G70" s="69">
        <f t="shared" si="1"/>
        <v>3.7500000000000089E-2</v>
      </c>
      <c r="H70" s="70" t="s">
        <v>64</v>
      </c>
      <c r="I70" s="49"/>
      <c r="J70" s="49"/>
      <c r="N70" s="72" t="s">
        <v>65</v>
      </c>
      <c r="T70" s="73"/>
    </row>
    <row r="71" spans="1:24">
      <c r="C71" s="65">
        <v>44834</v>
      </c>
      <c r="D71" s="49"/>
      <c r="E71" s="49"/>
      <c r="F71" s="66">
        <f>AVERAGE(F70,F72)</f>
        <v>124.248625</v>
      </c>
      <c r="G71" s="69">
        <f t="shared" si="1"/>
        <v>3.8000208855472062E-2</v>
      </c>
      <c r="H71" s="70" t="s">
        <v>63</v>
      </c>
      <c r="I71" s="49"/>
      <c r="J71" s="49"/>
      <c r="N71" s="72"/>
      <c r="T71" s="73"/>
    </row>
    <row r="72" spans="1:24">
      <c r="C72" s="65">
        <v>44926</v>
      </c>
      <c r="D72" s="49"/>
      <c r="E72" s="49"/>
      <c r="F72" s="66">
        <f>F68*(1+3.25%)</f>
        <v>125.24225</v>
      </c>
      <c r="G72" s="69">
        <f t="shared" si="1"/>
        <v>3.2499999999999973E-2</v>
      </c>
      <c r="H72" s="70" t="s">
        <v>64</v>
      </c>
      <c r="I72" s="49"/>
      <c r="J72" s="49"/>
      <c r="N72" s="72" t="s">
        <v>65</v>
      </c>
      <c r="T72" s="73"/>
    </row>
    <row r="73" spans="1:24">
      <c r="F73" s="49"/>
      <c r="G73" s="49"/>
      <c r="H73" s="49"/>
      <c r="I73" s="49"/>
      <c r="J73" s="49"/>
      <c r="T73" s="73"/>
    </row>
    <row r="74" spans="1:24" s="48" customFormat="1" ht="12.75">
      <c r="A74" s="43"/>
      <c r="B74" s="44" t="s">
        <v>66</v>
      </c>
      <c r="C74" s="43"/>
      <c r="D74" s="43"/>
      <c r="E74" s="43"/>
      <c r="F74" s="43"/>
      <c r="G74" s="45"/>
      <c r="H74" s="45"/>
      <c r="I74" s="45"/>
      <c r="J74" s="45"/>
      <c r="K74" s="46"/>
      <c r="L74" s="47"/>
      <c r="M74" s="46"/>
      <c r="N74" s="47"/>
      <c r="O74" s="46"/>
      <c r="P74" s="46"/>
      <c r="Q74" s="46"/>
      <c r="R74" s="46"/>
      <c r="S74" s="46"/>
      <c r="T74" s="46"/>
      <c r="U74" s="46"/>
      <c r="V74" s="46"/>
      <c r="W74" s="47"/>
      <c r="X74" s="47"/>
    </row>
    <row r="75" spans="1:24">
      <c r="D75" s="49"/>
      <c r="E75" s="49"/>
      <c r="F75" s="49"/>
      <c r="G75" s="49"/>
      <c r="H75" s="49"/>
      <c r="I75" s="49"/>
      <c r="J75" s="49"/>
    </row>
    <row r="76" spans="1:24">
      <c r="D76" s="49"/>
      <c r="E76" s="49"/>
      <c r="F76" s="49"/>
      <c r="G76" s="49"/>
      <c r="H76" s="49"/>
      <c r="I76" s="49"/>
      <c r="J76" s="49"/>
    </row>
    <row r="77" spans="1:24" s="50" customFormat="1"/>
    <row r="78" spans="1:24" s="50" customFormat="1"/>
    <row r="79" spans="1:24" s="50" customFormat="1"/>
    <row r="80" spans="1:24" s="50" customFormat="1"/>
    <row r="81" s="50" customFormat="1"/>
    <row r="82" s="50" customFormat="1"/>
    <row r="83" s="50" customFormat="1"/>
    <row r="84" s="50" customFormat="1"/>
  </sheetData>
  <conditionalFormatting sqref="X14:X50 T73 X63:X73">
    <cfRule type="cellIs" dxfId="15" priority="9" operator="equal">
      <formula>"Check"</formula>
    </cfRule>
    <cfRule type="cellIs" dxfId="14" priority="10" operator="equal">
      <formula>"Ok"</formula>
    </cfRule>
  </conditionalFormatting>
  <conditionalFormatting sqref="W1">
    <cfRule type="cellIs" dxfId="13" priority="7" operator="equal">
      <formula>"Check"</formula>
    </cfRule>
    <cfRule type="cellIs" dxfId="12" priority="8" operator="equal">
      <formula>"Ok"</formula>
    </cfRule>
  </conditionalFormatting>
  <conditionalFormatting sqref="T1">
    <cfRule type="cellIs" dxfId="11" priority="5" operator="equal">
      <formula>"Check"</formula>
    </cfRule>
    <cfRule type="cellIs" dxfId="10" priority="6" operator="equal">
      <formula>"Ok"</formula>
    </cfRule>
  </conditionalFormatting>
  <conditionalFormatting sqref="X51:X57">
    <cfRule type="cellIs" dxfId="9" priority="3" operator="equal">
      <formula>"Check"</formula>
    </cfRule>
    <cfRule type="cellIs" dxfId="8" priority="4" operator="equal">
      <formula>"Ok"</formula>
    </cfRule>
  </conditionalFormatting>
  <conditionalFormatting sqref="X58:X62 T9:T72">
    <cfRule type="cellIs" dxfId="7" priority="1" operator="equal">
      <formula>"Check"</formula>
    </cfRule>
    <cfRule type="cellIs" dxfId="6" priority="2" operator="equal">
      <formula>"Ok"</formula>
    </cfRule>
  </conditionalFormatting>
  <dataValidations count="2">
    <dataValidation type="list" allowBlank="1" showInputMessage="1" showErrorMessage="1" sqref="G73" xr:uid="{FD30F81E-2ED3-44D0-9DE2-6D8B3A2C61A7}">
      <formula1>"Real 2010,Real 2011,Real 2012,Real 2013,Real 2014,Real 2015,Nominal"</formula1>
    </dataValidation>
    <dataValidation type="list" allowBlank="1" showInputMessage="1" showErrorMessage="1" sqref="J12:J73" xr:uid="{59116CF0-3DC9-47B9-B8C5-6D6D2933D3B7}">
      <formula1>#REF!</formula1>
    </dataValidation>
  </dataValidations>
  <hyperlinks>
    <hyperlink ref="K1" location="Index!A1" display="Back to Index" xr:uid="{24938B41-B29C-4B9C-A713-09AE8761543D}"/>
    <hyperlink ref="V1" location="'Check|List'!A1" display="Overall Check:" xr:uid="{BF573B5C-FF2D-45F3-B577-D4C21310FA42}"/>
  </hyperlinks>
  <pageMargins left="0.7" right="0.7" top="0.75" bottom="0.75" header="0.3" footer="0.3"/>
  <pageSetup paperSize="9" orientation="portrait" verticalDpi="4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FD693-B4DF-4413-832E-257C4E5DBAA0}">
  <sheetPr>
    <tabColor rgb="FFFFFF99"/>
  </sheetPr>
  <dimension ref="A1:W31"/>
  <sheetViews>
    <sheetView showGridLines="0" zoomScaleNormal="100" workbookViewId="0">
      <selection activeCell="X1" sqref="X1:AX1048576"/>
    </sheetView>
  </sheetViews>
  <sheetFormatPr defaultColWidth="0" defaultRowHeight="9.9499999999999993" customHeight="1" zeroHeight="1" outlineLevelRow="1"/>
  <cols>
    <col min="1" max="2" width="1" style="49" customWidth="1"/>
    <col min="3" max="3" width="41.125" style="49" bestFit="1" customWidth="1"/>
    <col min="4" max="4" width="19.75" style="50" customWidth="1"/>
    <col min="5" max="5" width="11.25" style="50" customWidth="1"/>
    <col min="6" max="6" width="7.625" style="50" customWidth="1"/>
    <col min="7" max="9" width="2.375" style="50" customWidth="1"/>
    <col min="10" max="10" width="7.75" style="50" customWidth="1"/>
    <col min="11" max="23" width="7.75" style="49" customWidth="1"/>
    <col min="24" max="50" width="7.5" style="49" hidden="1" customWidth="1"/>
    <col min="51" max="16384" width="7.5" style="49" hidden="1"/>
  </cols>
  <sheetData>
    <row r="1" spans="1:23" s="16" customFormat="1" ht="15.75">
      <c r="B1" s="17" t="s">
        <v>34</v>
      </c>
      <c r="C1" s="17"/>
      <c r="D1" s="17"/>
      <c r="E1" s="17"/>
      <c r="F1" s="18"/>
      <c r="G1" s="18"/>
      <c r="H1" s="18"/>
      <c r="I1" s="18"/>
      <c r="J1" s="18"/>
      <c r="K1" s="19" t="s">
        <v>35</v>
      </c>
      <c r="M1" s="20" t="s">
        <v>36</v>
      </c>
      <c r="N1" s="21" t="s">
        <v>37</v>
      </c>
      <c r="O1" s="22" t="s">
        <v>38</v>
      </c>
      <c r="P1" s="23" t="s">
        <v>39</v>
      </c>
      <c r="S1" s="20" t="s">
        <v>40</v>
      </c>
      <c r="T1" s="24" t="str">
        <f>IF(COUNTIF(W5:W31,"Check")=0,"Ok","Check")</f>
        <v>Ok</v>
      </c>
      <c r="V1" s="25" t="s">
        <v>41</v>
      </c>
      <c r="W1" s="24" t="s">
        <v>42</v>
      </c>
    </row>
    <row r="2" spans="1:23" s="26" customFormat="1" ht="13.5" thickBot="1">
      <c r="B2" s="27" t="s">
        <v>43</v>
      </c>
      <c r="C2" s="27"/>
      <c r="D2" s="27"/>
      <c r="E2" s="27"/>
      <c r="F2" s="28"/>
      <c r="G2" s="28"/>
      <c r="H2" s="28"/>
      <c r="I2" s="28"/>
      <c r="J2" s="28"/>
    </row>
    <row r="3" spans="1:23" s="29" customFormat="1" ht="11.25">
      <c r="D3" s="30"/>
      <c r="E3" s="30"/>
      <c r="F3" s="30"/>
      <c r="G3" s="30"/>
      <c r="H3" s="30"/>
      <c r="I3" s="30"/>
      <c r="J3" s="31" t="s">
        <v>44</v>
      </c>
      <c r="K3" s="81"/>
      <c r="L3" s="81"/>
      <c r="M3" s="81"/>
      <c r="N3" s="30"/>
      <c r="O3" s="81"/>
      <c r="P3" s="81"/>
      <c r="Q3" s="81"/>
      <c r="R3" s="81"/>
      <c r="S3" s="81"/>
      <c r="T3" s="81"/>
      <c r="U3" s="32"/>
      <c r="V3" s="32"/>
      <c r="W3" s="32"/>
    </row>
    <row r="4" spans="1:23" s="40" customFormat="1" ht="10.5">
      <c r="A4" s="33"/>
      <c r="B4" s="33"/>
      <c r="C4" s="33"/>
      <c r="D4" s="34" t="s">
        <v>45</v>
      </c>
      <c r="E4" s="34" t="s">
        <v>46</v>
      </c>
      <c r="F4" s="35" t="s">
        <v>47</v>
      </c>
      <c r="G4" s="36"/>
      <c r="H4" s="36"/>
      <c r="I4" s="36"/>
      <c r="J4" s="37">
        <f>DATE(2017,12,1)</f>
        <v>43070</v>
      </c>
      <c r="K4" s="37">
        <f>DATE(YEAR(J4)+1,12,1)</f>
        <v>43435</v>
      </c>
      <c r="L4" s="37">
        <f t="shared" ref="L4:T4" si="0">DATE(YEAR(K4)+1,12,1)</f>
        <v>43800</v>
      </c>
      <c r="M4" s="37">
        <f t="shared" si="0"/>
        <v>44166</v>
      </c>
      <c r="N4" s="37">
        <f t="shared" si="0"/>
        <v>44531</v>
      </c>
      <c r="O4" s="37">
        <f t="shared" si="0"/>
        <v>44896</v>
      </c>
      <c r="P4" s="37">
        <f t="shared" si="0"/>
        <v>45261</v>
      </c>
      <c r="Q4" s="37">
        <f t="shared" si="0"/>
        <v>45627</v>
      </c>
      <c r="R4" s="37">
        <f t="shared" si="0"/>
        <v>45992</v>
      </c>
      <c r="S4" s="37">
        <f t="shared" si="0"/>
        <v>46357</v>
      </c>
      <c r="T4" s="37">
        <f t="shared" si="0"/>
        <v>46722</v>
      </c>
      <c r="U4" s="38"/>
      <c r="V4" s="38"/>
      <c r="W4" s="39"/>
    </row>
    <row r="5" spans="1:23" s="41" customFormat="1" ht="3" customHeight="1">
      <c r="D5" s="42"/>
      <c r="E5" s="42"/>
      <c r="F5" s="42"/>
      <c r="G5" s="42"/>
      <c r="H5" s="42"/>
      <c r="I5" s="42"/>
      <c r="J5" s="42"/>
    </row>
    <row r="6" spans="1:23" s="41" customFormat="1" ht="9" customHeight="1">
      <c r="D6" s="42"/>
      <c r="E6" s="42"/>
      <c r="F6" s="42"/>
      <c r="G6" s="42"/>
      <c r="H6" s="42"/>
      <c r="I6" s="42"/>
      <c r="J6" s="42"/>
    </row>
    <row r="7" spans="1:23" s="41" customFormat="1" ht="3" customHeight="1">
      <c r="D7" s="42"/>
      <c r="E7" s="42"/>
      <c r="F7" s="42"/>
      <c r="G7" s="42"/>
      <c r="H7" s="42"/>
      <c r="I7" s="42"/>
      <c r="J7" s="42"/>
    </row>
    <row r="8" spans="1:23" s="48" customFormat="1" ht="12.75">
      <c r="A8" s="43"/>
      <c r="B8" s="44" t="s">
        <v>48</v>
      </c>
      <c r="C8" s="43"/>
      <c r="D8" s="43"/>
      <c r="E8" s="43"/>
      <c r="F8" s="45"/>
      <c r="G8" s="45"/>
      <c r="H8" s="45"/>
      <c r="I8" s="45"/>
      <c r="J8" s="45"/>
      <c r="K8" s="46"/>
      <c r="L8" s="47"/>
      <c r="M8" s="46"/>
      <c r="N8" s="47"/>
      <c r="O8" s="46"/>
      <c r="P8" s="46"/>
      <c r="Q8" s="46"/>
      <c r="R8" s="46"/>
      <c r="S8" s="46"/>
      <c r="T8" s="46"/>
      <c r="U8" s="46"/>
      <c r="V8" s="46"/>
      <c r="W8" s="47"/>
    </row>
    <row r="9" spans="1:23" ht="11.25" customHeight="1" outlineLevel="1">
      <c r="O9" s="51"/>
      <c r="P9" s="52"/>
      <c r="Q9" s="53"/>
    </row>
    <row r="10" spans="1:23" ht="11.25" customHeight="1" outlineLevel="1">
      <c r="C10" s="54" t="s">
        <v>49</v>
      </c>
      <c r="J10" s="55">
        <f t="shared" ref="J10:N10" si="1">J4</f>
        <v>43070</v>
      </c>
      <c r="K10" s="55">
        <f t="shared" si="1"/>
        <v>43435</v>
      </c>
      <c r="L10" s="55">
        <f t="shared" si="1"/>
        <v>43800</v>
      </c>
      <c r="M10" s="55">
        <f t="shared" si="1"/>
        <v>44166</v>
      </c>
      <c r="N10" s="55">
        <f t="shared" si="1"/>
        <v>44531</v>
      </c>
      <c r="O10" s="55">
        <f>O4</f>
        <v>44896</v>
      </c>
    </row>
    <row r="11" spans="1:23" ht="11.25" customHeight="1" outlineLevel="1">
      <c r="C11" s="54"/>
      <c r="J11" s="49"/>
      <c r="P11" s="56"/>
      <c r="Q11" s="56"/>
      <c r="R11" s="56"/>
    </row>
    <row r="12" spans="1:23" ht="11.25" customHeight="1" outlineLevel="1">
      <c r="C12" s="57" t="s">
        <v>49</v>
      </c>
      <c r="D12" s="58" t="s">
        <v>50</v>
      </c>
      <c r="E12" s="50" t="s">
        <v>51</v>
      </c>
      <c r="J12" s="78">
        <v>1.2962962962963065E-2</v>
      </c>
      <c r="K12" s="78">
        <v>1.9337016574585641E-2</v>
      </c>
      <c r="L12" s="78">
        <v>2.0776874435411097E-2</v>
      </c>
      <c r="M12" s="78">
        <v>1.5929203539823078E-2</v>
      </c>
      <c r="N12" s="78">
        <v>-3.4843205574912606E-3</v>
      </c>
      <c r="O12" s="78">
        <v>3.8461538461538325E-2</v>
      </c>
      <c r="P12" s="59"/>
    </row>
    <row r="13" spans="1:23" ht="11.25" customHeight="1" outlineLevel="1">
      <c r="D13" s="49"/>
      <c r="E13" s="49"/>
      <c r="F13" s="49"/>
      <c r="G13" s="49"/>
      <c r="H13" s="49"/>
      <c r="I13" s="49"/>
      <c r="J13" s="49"/>
    </row>
    <row r="14" spans="1:23" ht="11.25" customHeight="1" outlineLevel="1">
      <c r="C14" s="54" t="s">
        <v>52</v>
      </c>
      <c r="I14" s="49"/>
      <c r="J14" s="55">
        <f t="shared" ref="J14:O14" si="2">J4</f>
        <v>43070</v>
      </c>
      <c r="K14" s="55">
        <f t="shared" si="2"/>
        <v>43435</v>
      </c>
      <c r="L14" s="55">
        <f t="shared" si="2"/>
        <v>43800</v>
      </c>
      <c r="M14" s="55">
        <f t="shared" si="2"/>
        <v>44166</v>
      </c>
      <c r="N14" s="55">
        <f t="shared" si="2"/>
        <v>44531</v>
      </c>
      <c r="O14" s="55">
        <f t="shared" si="2"/>
        <v>44896</v>
      </c>
    </row>
    <row r="15" spans="1:23" ht="11.25" customHeight="1" outlineLevel="1">
      <c r="C15" s="54"/>
      <c r="I15" s="49"/>
      <c r="J15" s="56"/>
      <c r="K15" s="56"/>
      <c r="L15" s="56"/>
      <c r="M15" s="56"/>
      <c r="N15" s="56"/>
      <c r="O15" s="56"/>
    </row>
    <row r="16" spans="1:23" ht="11.25" customHeight="1" outlineLevel="1">
      <c r="C16" s="60">
        <f t="array" ref="C16:C21">TRANSPOSE(J10:O10)</f>
        <v>43070</v>
      </c>
      <c r="D16" s="58" t="str">
        <f t="shared" ref="D16:D21" si="3">IF(ISNONTEXT($C16),"calculated","")</f>
        <v>calculated</v>
      </c>
      <c r="E16" s="50" t="str">
        <f t="shared" ref="E16:E21" si="4">IF(ISNONTEXT($C16),"index","")</f>
        <v>index</v>
      </c>
      <c r="J16" s="61">
        <f t="shared" ref="J16:N21" si="5">IF(AND($C16&gt;J$14,ISNONTEXT($C16)),K16/(1+K$12),IF(AND($C16=J$14,J$14=J$4),1,IF(AND($C16&lt;J$14,J$14=J$4),I16*(1+J$12),0)))</f>
        <v>1</v>
      </c>
      <c r="K16" s="61">
        <f t="shared" si="5"/>
        <v>1.0193370165745856</v>
      </c>
      <c r="L16" s="61">
        <f t="shared" si="5"/>
        <v>1.0405156537753224</v>
      </c>
      <c r="M16" s="61">
        <f t="shared" si="5"/>
        <v>1.0570902394106816</v>
      </c>
      <c r="N16" s="61">
        <f t="shared" si="5"/>
        <v>1.0534069981583796</v>
      </c>
      <c r="O16" s="61">
        <f>IF(AND($C16&gt;O$14,ISNONTEXT($C16)),#REF!/(1+O$12),IF(AND($C16=O$14,O$14=O$4),1,IF(AND($C16&lt;O$14,O$14=O$4),N16*(1+O$12),0)))</f>
        <v>1.0939226519337018</v>
      </c>
    </row>
    <row r="17" spans="3:20" ht="11.25" customHeight="1" outlineLevel="1">
      <c r="C17" s="60">
        <v>43435</v>
      </c>
      <c r="D17" s="58" t="str">
        <f t="shared" si="3"/>
        <v>calculated</v>
      </c>
      <c r="E17" s="50" t="str">
        <f t="shared" si="4"/>
        <v>index</v>
      </c>
      <c r="I17" s="61"/>
      <c r="J17" s="61">
        <f t="shared" si="5"/>
        <v>0.98102981029810299</v>
      </c>
      <c r="K17" s="61">
        <f t="shared" si="5"/>
        <v>1</v>
      </c>
      <c r="L17" s="61">
        <f t="shared" si="5"/>
        <v>1.0207768744354111</v>
      </c>
      <c r="M17" s="61">
        <f t="shared" si="5"/>
        <v>1.0370370370370372</v>
      </c>
      <c r="N17" s="61">
        <f t="shared" si="5"/>
        <v>1.0334236675700093</v>
      </c>
      <c r="O17" s="61">
        <f>IF(AND($C17&gt;O$14,ISNONTEXT($C17)),#REF!/(1+O$12),IF(AND($C17=O$14,O$14=O$4),1,IF(AND($C17&lt;O$14,O$14=O$4),N17*(1+O$12),0)))</f>
        <v>1.0731707317073171</v>
      </c>
    </row>
    <row r="18" spans="3:20" ht="11.25" customHeight="1" outlineLevel="1">
      <c r="C18" s="60">
        <v>43800</v>
      </c>
      <c r="D18" s="58" t="str">
        <f t="shared" si="3"/>
        <v>calculated</v>
      </c>
      <c r="E18" s="50" t="str">
        <f t="shared" si="4"/>
        <v>index</v>
      </c>
      <c r="I18" s="61"/>
      <c r="J18" s="61">
        <f t="shared" si="5"/>
        <v>0.96106194690265478</v>
      </c>
      <c r="K18" s="61">
        <f t="shared" si="5"/>
        <v>0.97964601769911497</v>
      </c>
      <c r="L18" s="61">
        <f t="shared" si="5"/>
        <v>1</v>
      </c>
      <c r="M18" s="61">
        <f t="shared" si="5"/>
        <v>1.0159292035398231</v>
      </c>
      <c r="N18" s="61">
        <f t="shared" si="5"/>
        <v>1.0123893805309736</v>
      </c>
      <c r="O18" s="61">
        <f>IF(AND($C18&gt;O$14,ISNONTEXT($C18)),#REF!/(1+O$12),IF(AND($C18=O$14,O$14=O$4),1,IF(AND($C18&lt;O$14,O$14=O$4),N18*(1+O$12),0)))</f>
        <v>1.0513274336283187</v>
      </c>
    </row>
    <row r="19" spans="3:20" ht="11.25" customHeight="1" outlineLevel="1">
      <c r="C19" s="60">
        <v>44166</v>
      </c>
      <c r="D19" s="58" t="str">
        <f t="shared" si="3"/>
        <v>calculated</v>
      </c>
      <c r="E19" s="50" t="str">
        <f t="shared" si="4"/>
        <v>index</v>
      </c>
      <c r="I19" s="61"/>
      <c r="J19" s="61">
        <f t="shared" si="5"/>
        <v>0.94599303135888479</v>
      </c>
      <c r="K19" s="61">
        <f t="shared" si="5"/>
        <v>0.96428571428571408</v>
      </c>
      <c r="L19" s="61">
        <f t="shared" si="5"/>
        <v>0.98432055749128911</v>
      </c>
      <c r="M19" s="61">
        <f t="shared" si="5"/>
        <v>1</v>
      </c>
      <c r="N19" s="61">
        <f t="shared" si="5"/>
        <v>0.99651567944250874</v>
      </c>
      <c r="O19" s="61">
        <f>IF(AND($C19&gt;O$14,ISNONTEXT($C19)),#REF!/(1+O$12),IF(AND($C19=O$14,O$14=O$4),1,IF(AND($C19&lt;O$14,O$14=O$4),N19*(1+O$12),0)))</f>
        <v>1.0348432055749128</v>
      </c>
    </row>
    <row r="20" spans="3:20" ht="11.25" customHeight="1" outlineLevel="1">
      <c r="C20" s="60">
        <v>44531</v>
      </c>
      <c r="D20" s="58" t="str">
        <f t="shared" si="3"/>
        <v>calculated</v>
      </c>
      <c r="E20" s="50" t="str">
        <f t="shared" si="4"/>
        <v>index</v>
      </c>
      <c r="I20" s="61"/>
      <c r="J20" s="61">
        <f>IF(AND($C20&gt;J$14,ISNONTEXT($C20)),K20/(1+K$12),IF(AND($C20=J$14,J$14=J$4),1,IF(AND($C20&lt;J$14,J$14=J$4),I20*(1+J$12),0)))</f>
        <v>0.94930069930069916</v>
      </c>
      <c r="K20" s="61">
        <f t="shared" si="5"/>
        <v>0.96765734265734249</v>
      </c>
      <c r="L20" s="61">
        <f t="shared" si="5"/>
        <v>0.9877622377622377</v>
      </c>
      <c r="M20" s="61">
        <f t="shared" si="5"/>
        <v>1.0034965034965035</v>
      </c>
      <c r="N20" s="61">
        <f t="shared" si="5"/>
        <v>1</v>
      </c>
      <c r="O20" s="61">
        <f>IF(AND($C20&gt;O$14,ISNONTEXT($C20)),#REF!/(1+O$12),IF(AND($C20=O$14,O$14=O$4),1,IF(AND($C20&lt;O$14,O$14=O$4),N20*(1+O$12),0)))</f>
        <v>1.0384615384615383</v>
      </c>
    </row>
    <row r="21" spans="3:20" ht="11.25" customHeight="1" outlineLevel="1">
      <c r="C21" s="60">
        <v>44896</v>
      </c>
      <c r="D21" s="58" t="str">
        <f t="shared" si="3"/>
        <v>calculated</v>
      </c>
      <c r="E21" s="50" t="str">
        <f t="shared" si="4"/>
        <v>index</v>
      </c>
      <c r="I21" s="61"/>
      <c r="J21" s="61">
        <f>IF(AND($C21&gt;J$14,ISNONTEXT($C21)),K21/(1+K$12),IF(AND($C21=J$14,J$14=J$4),1,IF(AND($C21&lt;J$14,J$14=J$4),I21*(1+J$12),0)))</f>
        <v>0.91414141414141403</v>
      </c>
      <c r="K21" s="61">
        <f t="shared" si="5"/>
        <v>0.93181818181818177</v>
      </c>
      <c r="L21" s="61">
        <f t="shared" si="5"/>
        <v>0.95117845117845123</v>
      </c>
      <c r="M21" s="61">
        <f t="shared" si="5"/>
        <v>0.96632996632996648</v>
      </c>
      <c r="N21" s="61">
        <f t="shared" si="5"/>
        <v>0.96296296296296313</v>
      </c>
      <c r="O21" s="61">
        <f>IF(AND($C21&gt;O$14,ISNONTEXT($C21)),#REF!/(1+O$12),IF(AND($C21=O$14,O$14=O$4),1,IF(AND($C21&lt;O$14,O$14=O$4),N21*(1+O$12),0)))</f>
        <v>1</v>
      </c>
    </row>
    <row r="22" spans="3:20" ht="11.25" customHeight="1" outlineLevel="1">
      <c r="C22" s="57"/>
      <c r="J22" s="61"/>
      <c r="K22" s="61"/>
      <c r="L22" s="61"/>
      <c r="M22" s="61"/>
      <c r="N22" s="61"/>
      <c r="O22" s="61"/>
    </row>
    <row r="23" spans="3:20" ht="11.25" customHeight="1" outlineLevel="1">
      <c r="C23" s="54" t="s">
        <v>53</v>
      </c>
      <c r="J23" s="55">
        <f t="shared" ref="J23:O23" si="6">J4</f>
        <v>43070</v>
      </c>
      <c r="K23" s="55">
        <f t="shared" si="6"/>
        <v>43435</v>
      </c>
      <c r="L23" s="55">
        <f t="shared" si="6"/>
        <v>43800</v>
      </c>
      <c r="M23" s="55">
        <f t="shared" si="6"/>
        <v>44166</v>
      </c>
      <c r="N23" s="55">
        <f t="shared" si="6"/>
        <v>44531</v>
      </c>
      <c r="O23" s="55">
        <f t="shared" si="6"/>
        <v>44896</v>
      </c>
    </row>
    <row r="24" spans="3:20" ht="11.25" customHeight="1" outlineLevel="1">
      <c r="C24" s="57"/>
      <c r="J24" s="49"/>
    </row>
    <row r="25" spans="3:20" ht="11.25" customHeight="1" outlineLevel="1">
      <c r="C25" s="60">
        <f t="array" ref="C25:C30">TRANSPOSE(J10:O10)</f>
        <v>43070</v>
      </c>
      <c r="D25" s="58" t="str">
        <f t="shared" ref="D25:D30" si="7">IF(ISNONTEXT($C25),"calculated","")</f>
        <v>calculated</v>
      </c>
      <c r="E25" s="50" t="str">
        <f t="shared" ref="E25:E30" si="8">IF(ISNONTEXT($C25),"index","")</f>
        <v>index</v>
      </c>
      <c r="I25" s="61"/>
      <c r="J25" s="61">
        <f t="shared" ref="J25:O30" si="9">IF(AND(J$23=J$4,ISNONTEXT($C25)),1/J16*(1+J$12)^0.5,0)</f>
        <v>1.0064606117295216</v>
      </c>
      <c r="K25" s="61">
        <f t="shared" si="9"/>
        <v>0.99046948983706851</v>
      </c>
      <c r="L25" s="61">
        <f t="shared" si="9"/>
        <v>0.97099455171212823</v>
      </c>
      <c r="M25" s="61">
        <f t="shared" si="9"/>
        <v>0.95349772127368704</v>
      </c>
      <c r="N25" s="61">
        <f t="shared" si="9"/>
        <v>0.94764542219259285</v>
      </c>
      <c r="O25" s="61">
        <f t="shared" si="9"/>
        <v>0.93155519627350813</v>
      </c>
      <c r="P25" s="52"/>
      <c r="Q25" s="52"/>
    </row>
    <row r="26" spans="3:20" ht="11.25" customHeight="1" outlineLevel="1">
      <c r="C26" s="60">
        <v>43435</v>
      </c>
      <c r="D26" s="58" t="str">
        <f t="shared" si="7"/>
        <v>calculated</v>
      </c>
      <c r="E26" s="50" t="str">
        <f t="shared" si="8"/>
        <v>index</v>
      </c>
      <c r="I26" s="61"/>
      <c r="J26" s="61">
        <f t="shared" si="9"/>
        <v>1.0259225572602029</v>
      </c>
      <c r="K26" s="61">
        <f t="shared" si="9"/>
        <v>1.0096222147786693</v>
      </c>
      <c r="L26" s="61">
        <f t="shared" si="9"/>
        <v>0.98977068945241797</v>
      </c>
      <c r="M26" s="61">
        <f t="shared" si="9"/>
        <v>0.97193552251378601</v>
      </c>
      <c r="N26" s="61">
        <f t="shared" si="9"/>
        <v>0.96597005742836117</v>
      </c>
      <c r="O26" s="61">
        <f t="shared" si="9"/>
        <v>0.9495686945439904</v>
      </c>
      <c r="P26" s="52"/>
      <c r="Q26" s="52"/>
    </row>
    <row r="27" spans="3:20" ht="11.25" customHeight="1" outlineLevel="1">
      <c r="C27" s="60">
        <v>43800</v>
      </c>
      <c r="D27" s="58" t="str">
        <f t="shared" si="7"/>
        <v>calculated</v>
      </c>
      <c r="E27" s="50" t="str">
        <f t="shared" si="8"/>
        <v>index</v>
      </c>
      <c r="I27" s="61"/>
      <c r="J27" s="61">
        <f t="shared" si="9"/>
        <v>1.047238021412854</v>
      </c>
      <c r="K27" s="61">
        <f t="shared" si="9"/>
        <v>1.0305990087623274</v>
      </c>
      <c r="L27" s="61">
        <f t="shared" si="9"/>
        <v>1.0103350307870211</v>
      </c>
      <c r="M27" s="61">
        <f t="shared" si="9"/>
        <v>0.99212930482437067</v>
      </c>
      <c r="N27" s="61">
        <f t="shared" si="9"/>
        <v>0.98603989601991704</v>
      </c>
      <c r="O27" s="61">
        <f t="shared" si="9"/>
        <v>0.96929776407832791</v>
      </c>
      <c r="P27" s="52"/>
      <c r="Q27" s="52"/>
    </row>
    <row r="28" spans="3:20" ht="11.25" customHeight="1" outlineLevel="1">
      <c r="C28" s="60">
        <v>44166</v>
      </c>
      <c r="D28" s="58" t="str">
        <f t="shared" si="7"/>
        <v>calculated</v>
      </c>
      <c r="E28" s="50" t="str">
        <f t="shared" si="8"/>
        <v>index</v>
      </c>
      <c r="I28" s="61"/>
      <c r="J28" s="61">
        <f t="shared" si="9"/>
        <v>1.0639196890105811</v>
      </c>
      <c r="K28" s="61">
        <f t="shared" si="9"/>
        <v>1.0470156301408424</v>
      </c>
      <c r="L28" s="61">
        <f t="shared" si="9"/>
        <v>1.0264288631358409</v>
      </c>
      <c r="M28" s="61">
        <f t="shared" si="9"/>
        <v>1.0079331344587412</v>
      </c>
      <c r="N28" s="61">
        <f t="shared" si="9"/>
        <v>1.0017467262220046</v>
      </c>
      <c r="O28" s="61">
        <f t="shared" si="9"/>
        <v>0.98473790545302708</v>
      </c>
      <c r="P28" s="52"/>
      <c r="Q28" s="52"/>
    </row>
    <row r="29" spans="3:20" ht="11.25" customHeight="1" outlineLevel="1">
      <c r="C29" s="60">
        <v>44531</v>
      </c>
      <c r="D29" s="58" t="str">
        <f t="shared" si="7"/>
        <v>calculated</v>
      </c>
      <c r="E29" s="50" t="str">
        <f t="shared" si="8"/>
        <v>index</v>
      </c>
      <c r="I29" s="61"/>
      <c r="J29" s="61">
        <f t="shared" si="9"/>
        <v>1.0602126517666417</v>
      </c>
      <c r="K29" s="61">
        <f t="shared" si="9"/>
        <v>1.043367492056728</v>
      </c>
      <c r="L29" s="61">
        <f t="shared" si="9"/>
        <v>1.0228524559472145</v>
      </c>
      <c r="M29" s="61">
        <f t="shared" si="9"/>
        <v>1.0044211723177698</v>
      </c>
      <c r="N29" s="61">
        <f t="shared" si="9"/>
        <v>0.99825631951042948</v>
      </c>
      <c r="O29" s="61">
        <f t="shared" si="9"/>
        <v>0.98130676292531638</v>
      </c>
      <c r="P29" s="52"/>
      <c r="Q29" s="52"/>
    </row>
    <row r="30" spans="3:20" ht="11.25" customHeight="1" outlineLevel="1">
      <c r="C30" s="60">
        <v>44896</v>
      </c>
      <c r="D30" s="58" t="str">
        <f t="shared" si="7"/>
        <v>calculated</v>
      </c>
      <c r="E30" s="50" t="str">
        <f t="shared" si="8"/>
        <v>index</v>
      </c>
      <c r="I30" s="61"/>
      <c r="J30" s="61">
        <f t="shared" si="9"/>
        <v>1.1009900614499739</v>
      </c>
      <c r="K30" s="61">
        <f t="shared" si="9"/>
        <v>1.0834970109819866</v>
      </c>
      <c r="L30" s="61">
        <f t="shared" si="9"/>
        <v>1.0621929350221071</v>
      </c>
      <c r="M30" s="61">
        <f t="shared" si="9"/>
        <v>1.0430527558684535</v>
      </c>
      <c r="N30" s="61">
        <f t="shared" si="9"/>
        <v>1.0366507933377536</v>
      </c>
      <c r="O30" s="61">
        <f t="shared" si="9"/>
        <v>1.019049330730136</v>
      </c>
      <c r="P30" s="52"/>
      <c r="Q30" s="52"/>
    </row>
    <row r="31" spans="3:20" ht="11.25">
      <c r="C31" s="57"/>
      <c r="K31" s="61"/>
      <c r="L31" s="61"/>
      <c r="M31" s="61"/>
      <c r="N31" s="61"/>
      <c r="O31" s="61"/>
      <c r="P31" s="62"/>
      <c r="Q31" s="61"/>
      <c r="R31" s="61"/>
      <c r="S31" s="61"/>
      <c r="T31" s="61"/>
    </row>
  </sheetData>
  <mergeCells count="2">
    <mergeCell ref="K3:M3"/>
    <mergeCell ref="O3:T3"/>
  </mergeCells>
  <conditionalFormatting sqref="W1">
    <cfRule type="cellIs" dxfId="5" priority="5" operator="equal">
      <formula>"Check"</formula>
    </cfRule>
    <cfRule type="cellIs" dxfId="4" priority="6" operator="equal">
      <formula>"Ok"</formula>
    </cfRule>
  </conditionalFormatting>
  <conditionalFormatting sqref="T1">
    <cfRule type="cellIs" dxfId="3" priority="3" operator="equal">
      <formula>"Check"</formula>
    </cfRule>
    <cfRule type="cellIs" dxfId="2" priority="4" operator="equal">
      <formula>"Ok"</formula>
    </cfRule>
  </conditionalFormatting>
  <conditionalFormatting sqref="J25:O30">
    <cfRule type="cellIs" dxfId="1" priority="2" operator="equal">
      <formula>0</formula>
    </cfRule>
  </conditionalFormatting>
  <conditionalFormatting sqref="J16:O21">
    <cfRule type="cellIs" dxfId="0" priority="1" operator="equal">
      <formula>0</formula>
    </cfRule>
  </conditionalFormatting>
  <hyperlinks>
    <hyperlink ref="K1" location="Index!A1" display="Back to Index" xr:uid="{1F99C366-FFD2-4731-8E91-6F4EB5F46A3A}"/>
    <hyperlink ref="V1" location="'Check|List'!A1" display="Overall Check:" xr:uid="{202AEB06-AD29-4D90-BD66-DB14F30D700E}"/>
  </hyperlinks>
  <pageMargins left="0.7" right="0.7" top="0.75" bottom="0.75" header="0.3" footer="0.3"/>
  <pageSetup paperSize="9" orientation="portrait" verticalDpi="4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4"/>
  <sheetViews>
    <sheetView workbookViewId="0">
      <selection activeCell="A25" sqref="A25:XFD1048576"/>
    </sheetView>
  </sheetViews>
  <sheetFormatPr defaultColWidth="0" defaultRowHeight="14.25" zeroHeight="1"/>
  <cols>
    <col min="1" max="1" width="41.25" bestFit="1" customWidth="1"/>
    <col min="2" max="3" width="9" customWidth="1"/>
    <col min="4" max="4" width="15" bestFit="1" customWidth="1"/>
    <col min="5" max="5" width="9" customWidth="1"/>
    <col min="6" max="6" width="13.625" style="12" bestFit="1" customWidth="1"/>
    <col min="7" max="7" width="9" customWidth="1"/>
    <col min="8" max="14" width="0" hidden="1" customWidth="1"/>
    <col min="15" max="16384" width="9" hidden="1"/>
  </cols>
  <sheetData>
    <row r="1" spans="1:14">
      <c r="A1" s="13" t="s">
        <v>18</v>
      </c>
      <c r="B1" s="13"/>
      <c r="C1" s="13" t="s">
        <v>33</v>
      </c>
      <c r="D1" s="13"/>
      <c r="E1" s="13"/>
      <c r="F1" s="13"/>
      <c r="G1" s="13"/>
    </row>
    <row r="2" spans="1:14">
      <c r="A2" s="8" t="s">
        <v>12</v>
      </c>
      <c r="B2" s="7"/>
      <c r="C2" s="5" t="s">
        <v>17</v>
      </c>
      <c r="D2" s="7" t="s">
        <v>19</v>
      </c>
      <c r="E2" s="7"/>
      <c r="F2" s="12" t="s">
        <v>2</v>
      </c>
      <c r="G2" s="2">
        <f>'Input|Rate of change'!O16</f>
        <v>1.0939226519337018</v>
      </c>
    </row>
    <row r="3" spans="1:14">
      <c r="A3" s="82" t="s">
        <v>20</v>
      </c>
      <c r="B3" s="83"/>
      <c r="C3" s="9">
        <v>44.90692421417004</v>
      </c>
      <c r="D3" s="9">
        <f>C3*0.5*$G$2</f>
        <v>24.562350813275327</v>
      </c>
      <c r="F3" s="6"/>
      <c r="G3" s="6"/>
      <c r="H3" s="6"/>
      <c r="I3" s="80"/>
      <c r="J3" s="80"/>
      <c r="L3" s="79"/>
      <c r="M3" s="80"/>
      <c r="N3" s="80"/>
    </row>
    <row r="4" spans="1:14">
      <c r="A4" s="82" t="s">
        <v>21</v>
      </c>
      <c r="B4" s="83"/>
      <c r="C4" s="9"/>
      <c r="D4" s="9">
        <f t="shared" ref="D4:D19" si="0">C4*0.5*$G$2</f>
        <v>0</v>
      </c>
      <c r="F4" s="6"/>
      <c r="G4" s="6"/>
      <c r="H4" s="6"/>
      <c r="I4" s="80"/>
      <c r="J4" s="80"/>
      <c r="L4" s="79"/>
      <c r="M4" s="80"/>
      <c r="N4" s="80"/>
    </row>
    <row r="5" spans="1:14">
      <c r="A5" s="82" t="s">
        <v>22</v>
      </c>
      <c r="B5" s="83"/>
      <c r="C5" s="9"/>
      <c r="D5" s="9">
        <f t="shared" si="0"/>
        <v>0</v>
      </c>
      <c r="F5" s="6"/>
      <c r="G5" s="6"/>
      <c r="H5" s="6"/>
      <c r="I5" s="80"/>
      <c r="J5" s="80"/>
      <c r="L5" s="79"/>
      <c r="M5" s="80"/>
      <c r="N5" s="80"/>
    </row>
    <row r="6" spans="1:14">
      <c r="A6" s="82" t="s">
        <v>23</v>
      </c>
      <c r="B6" s="83"/>
      <c r="C6" s="9">
        <v>16.066377718040503</v>
      </c>
      <c r="D6" s="9">
        <f t="shared" si="0"/>
        <v>8.7876872601437004</v>
      </c>
      <c r="F6" s="6"/>
      <c r="G6" s="6"/>
      <c r="H6" s="6"/>
      <c r="I6" s="80"/>
      <c r="J6" s="80"/>
      <c r="L6" s="79"/>
      <c r="M6" s="80"/>
      <c r="N6" s="80"/>
    </row>
    <row r="7" spans="1:14">
      <c r="A7" s="82" t="s">
        <v>24</v>
      </c>
      <c r="B7" s="83"/>
      <c r="C7" s="9"/>
      <c r="D7" s="9">
        <f t="shared" si="0"/>
        <v>0</v>
      </c>
      <c r="F7" s="6"/>
      <c r="G7" s="6"/>
      <c r="H7" s="6"/>
      <c r="I7" s="80"/>
      <c r="J7" s="80"/>
      <c r="L7" s="79"/>
      <c r="M7" s="80"/>
      <c r="N7" s="80"/>
    </row>
    <row r="8" spans="1:14">
      <c r="A8" s="82" t="s">
        <v>25</v>
      </c>
      <c r="B8" s="83"/>
      <c r="C8" s="9"/>
      <c r="D8" s="9">
        <f t="shared" si="0"/>
        <v>0</v>
      </c>
      <c r="F8" s="6"/>
      <c r="G8" s="6"/>
      <c r="H8" s="6"/>
      <c r="I8" s="80"/>
      <c r="J8" s="80"/>
      <c r="L8" s="79"/>
      <c r="M8" s="80"/>
      <c r="N8" s="80"/>
    </row>
    <row r="9" spans="1:14">
      <c r="A9" s="82" t="s">
        <v>26</v>
      </c>
      <c r="B9" s="83"/>
      <c r="C9" s="9">
        <v>0.18721302345020471</v>
      </c>
      <c r="D9" s="9">
        <f t="shared" si="0"/>
        <v>0.10239828354458712</v>
      </c>
      <c r="F9" s="6"/>
      <c r="G9" s="6"/>
      <c r="H9" s="6"/>
      <c r="I9" s="80"/>
      <c r="J9" s="80"/>
      <c r="L9" s="79"/>
      <c r="M9" s="80"/>
      <c r="N9" s="80"/>
    </row>
    <row r="10" spans="1:14">
      <c r="A10" s="82" t="s">
        <v>27</v>
      </c>
      <c r="B10" s="83"/>
      <c r="C10" s="9">
        <v>1.5923188779233715</v>
      </c>
      <c r="D10" s="9">
        <f t="shared" si="0"/>
        <v>0.87093684483101541</v>
      </c>
      <c r="F10" s="6"/>
      <c r="G10" s="6"/>
      <c r="H10" s="6"/>
      <c r="I10" s="80"/>
      <c r="J10" s="80"/>
      <c r="L10" s="79"/>
      <c r="M10" s="80"/>
      <c r="N10" s="80"/>
    </row>
    <row r="11" spans="1:14">
      <c r="A11" s="82" t="s">
        <v>28</v>
      </c>
      <c r="B11" s="83"/>
      <c r="C11" s="9"/>
      <c r="D11" s="9">
        <f t="shared" si="0"/>
        <v>0</v>
      </c>
      <c r="F11" s="6"/>
      <c r="G11" s="6"/>
      <c r="H11" s="6"/>
      <c r="I11" s="80"/>
      <c r="J11" s="80"/>
      <c r="L11" s="79"/>
      <c r="M11" s="80"/>
      <c r="N11" s="80"/>
    </row>
    <row r="12" spans="1:14">
      <c r="A12" s="82" t="s">
        <v>29</v>
      </c>
      <c r="B12" s="83"/>
      <c r="C12" s="9">
        <v>4.5115416927101792</v>
      </c>
      <c r="D12" s="9">
        <f t="shared" si="0"/>
        <v>2.4676388263994906</v>
      </c>
      <c r="F12" s="6"/>
      <c r="G12" s="6"/>
      <c r="H12" s="6"/>
      <c r="I12" s="80"/>
      <c r="J12" s="80"/>
      <c r="L12" s="79"/>
      <c r="M12" s="80"/>
      <c r="N12" s="80"/>
    </row>
    <row r="13" spans="1:14">
      <c r="A13" s="82" t="s">
        <v>15</v>
      </c>
      <c r="B13" s="83"/>
      <c r="C13" s="9"/>
      <c r="D13" s="9">
        <f t="shared" si="0"/>
        <v>0</v>
      </c>
      <c r="F13" s="6"/>
      <c r="G13" s="6"/>
      <c r="H13" s="6"/>
      <c r="I13" s="80"/>
      <c r="J13" s="80"/>
      <c r="L13" s="79"/>
      <c r="M13" s="80"/>
      <c r="N13" s="80"/>
    </row>
    <row r="14" spans="1:14">
      <c r="A14" s="82" t="s">
        <v>30</v>
      </c>
      <c r="B14" s="83"/>
      <c r="C14" s="9">
        <v>10.097298992515078</v>
      </c>
      <c r="D14" s="9">
        <f t="shared" si="0"/>
        <v>5.5228320456297944</v>
      </c>
      <c r="F14" s="6"/>
      <c r="G14" s="6"/>
      <c r="H14" s="6"/>
      <c r="I14" s="80"/>
      <c r="J14" s="80"/>
      <c r="L14" s="79"/>
      <c r="M14" s="80"/>
      <c r="N14" s="80"/>
    </row>
    <row r="15" spans="1:14">
      <c r="A15" s="82" t="s">
        <v>14</v>
      </c>
      <c r="B15" s="83"/>
      <c r="C15" s="9">
        <v>0.63296096261607337</v>
      </c>
      <c r="D15" s="9">
        <f t="shared" si="0"/>
        <v>0.34620516739774182</v>
      </c>
      <c r="F15" s="6"/>
      <c r="G15" s="6"/>
      <c r="H15" s="6"/>
      <c r="I15" s="80"/>
      <c r="J15" s="80"/>
      <c r="L15" s="79"/>
      <c r="M15" s="80"/>
      <c r="N15" s="80"/>
    </row>
    <row r="16" spans="1:14">
      <c r="A16" s="82" t="s">
        <v>31</v>
      </c>
      <c r="B16" s="83"/>
      <c r="C16" s="9">
        <v>0.13106750001017997</v>
      </c>
      <c r="D16" s="9">
        <f t="shared" si="0"/>
        <v>7.1688853596728275E-2</v>
      </c>
      <c r="F16" s="6"/>
      <c r="G16" s="6"/>
      <c r="H16" s="6"/>
      <c r="I16" s="80"/>
      <c r="J16" s="80"/>
      <c r="L16" s="79"/>
      <c r="M16" s="80"/>
      <c r="N16" s="80"/>
    </row>
    <row r="17" spans="1:14">
      <c r="A17" s="82" t="s">
        <v>13</v>
      </c>
      <c r="B17" s="83"/>
      <c r="C17" s="9">
        <v>0</v>
      </c>
      <c r="D17" s="9">
        <f t="shared" si="0"/>
        <v>0</v>
      </c>
      <c r="F17" s="6"/>
      <c r="G17" s="6"/>
      <c r="H17" s="6"/>
      <c r="I17" s="80"/>
      <c r="J17" s="80"/>
      <c r="L17" s="79"/>
      <c r="M17" s="80"/>
      <c r="N17" s="80"/>
    </row>
    <row r="18" spans="1:14">
      <c r="A18" s="82" t="s">
        <v>16</v>
      </c>
      <c r="B18" s="83"/>
      <c r="C18" s="10"/>
      <c r="D18" s="10">
        <f t="shared" si="0"/>
        <v>0</v>
      </c>
      <c r="F18" s="6"/>
      <c r="G18" s="6"/>
      <c r="H18" s="6"/>
      <c r="I18" s="80"/>
      <c r="J18" s="80"/>
      <c r="L18" s="79"/>
      <c r="M18" s="80"/>
      <c r="N18" s="80"/>
    </row>
    <row r="19" spans="1:14">
      <c r="A19" s="82" t="s">
        <v>54</v>
      </c>
      <c r="B19" s="82"/>
      <c r="C19" s="10">
        <v>8.303562854523399</v>
      </c>
      <c r="D19" s="10">
        <f t="shared" si="0"/>
        <v>4.5417277491592074</v>
      </c>
      <c r="F19" s="6"/>
      <c r="G19" s="6"/>
      <c r="H19" s="6"/>
      <c r="I19" s="80"/>
      <c r="J19" s="80"/>
      <c r="L19" s="79"/>
      <c r="M19" s="80"/>
      <c r="N19" s="80"/>
    </row>
    <row r="20" spans="1:14">
      <c r="A20" s="82" t="s">
        <v>32</v>
      </c>
      <c r="B20" s="82"/>
      <c r="C20" s="11">
        <f>SUM(C3:C18)-C19</f>
        <v>69.822140126912217</v>
      </c>
      <c r="D20" s="11">
        <f>SUM(D3:D18)-D19</f>
        <v>38.190010345659175</v>
      </c>
      <c r="F20" s="6"/>
      <c r="G20" s="6"/>
      <c r="H20" s="6"/>
      <c r="I20" s="80"/>
      <c r="J20" s="80"/>
      <c r="L20" s="79"/>
      <c r="M20" s="80"/>
      <c r="N20" s="80"/>
    </row>
    <row r="21" spans="1:14">
      <c r="F21" s="6"/>
    </row>
    <row r="22" spans="1:14"/>
    <row r="23" spans="1:14" s="12" customFormat="1">
      <c r="A23" s="13"/>
      <c r="B23" s="13"/>
      <c r="C23" s="13"/>
      <c r="D23" s="13"/>
      <c r="E23" s="13"/>
      <c r="F23" s="13"/>
      <c r="G23" s="13"/>
    </row>
    <row r="24" spans="1:14">
      <c r="A24" t="s">
        <v>66</v>
      </c>
    </row>
  </sheetData>
  <mergeCells count="18">
    <mergeCell ref="A20:B20"/>
    <mergeCell ref="A14:B14"/>
    <mergeCell ref="A15:B15"/>
    <mergeCell ref="A16:B16"/>
    <mergeCell ref="A17:B17"/>
    <mergeCell ref="A18:B18"/>
    <mergeCell ref="A19:B19"/>
    <mergeCell ref="A13:B13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F4E42-61E1-488D-80D4-A13771AEBC75}">
  <dimension ref="A1:E64"/>
  <sheetViews>
    <sheetView workbookViewId="0">
      <selection activeCell="A65" sqref="A65:XFD1048576"/>
    </sheetView>
  </sheetViews>
  <sheetFormatPr defaultColWidth="0" defaultRowHeight="14.25" zeroHeight="1"/>
  <cols>
    <col min="1" max="5" width="9" style="12" customWidth="1"/>
    <col min="6" max="16384" width="9" hidden="1"/>
  </cols>
  <sheetData>
    <row r="1" spans="1:5">
      <c r="A1" s="75" t="s">
        <v>71</v>
      </c>
      <c r="B1" s="74"/>
      <c r="C1" s="74"/>
      <c r="D1" s="13"/>
      <c r="E1" s="13"/>
    </row>
    <row r="2" spans="1:5"/>
    <row r="3" spans="1:5">
      <c r="A3" s="13" t="s">
        <v>67</v>
      </c>
      <c r="B3" s="13"/>
      <c r="C3" s="74"/>
      <c r="D3" s="13"/>
      <c r="E3" s="13"/>
    </row>
    <row r="4" spans="1:5">
      <c r="A4" s="3" t="s">
        <v>12</v>
      </c>
      <c r="B4" s="4"/>
      <c r="C4" s="76" t="s">
        <v>68</v>
      </c>
    </row>
    <row r="5" spans="1:5">
      <c r="A5" s="82" t="s">
        <v>20</v>
      </c>
      <c r="B5" s="82"/>
      <c r="C5" s="12">
        <f>'Calc|MGN'!D3</f>
        <v>24.562350813275327</v>
      </c>
    </row>
    <row r="6" spans="1:5">
      <c r="A6" s="82" t="s">
        <v>21</v>
      </c>
      <c r="B6" s="82"/>
      <c r="C6" s="12">
        <f>'Calc|MGN'!D4</f>
        <v>0</v>
      </c>
    </row>
    <row r="7" spans="1:5">
      <c r="A7" s="82" t="s">
        <v>22</v>
      </c>
      <c r="B7" s="82"/>
      <c r="C7" s="12">
        <f>'Calc|MGN'!D5</f>
        <v>0</v>
      </c>
    </row>
    <row r="8" spans="1:5">
      <c r="A8" s="82" t="s">
        <v>23</v>
      </c>
      <c r="B8" s="82"/>
      <c r="C8" s="12">
        <f>'Calc|MGN'!D6</f>
        <v>8.7876872601437004</v>
      </c>
    </row>
    <row r="9" spans="1:5">
      <c r="A9" s="82" t="s">
        <v>24</v>
      </c>
      <c r="B9" s="82"/>
      <c r="C9" s="12">
        <f>'Calc|MGN'!D7</f>
        <v>0</v>
      </c>
    </row>
    <row r="10" spans="1:5">
      <c r="A10" s="82" t="s">
        <v>25</v>
      </c>
      <c r="B10" s="82"/>
      <c r="C10" s="12">
        <f>'Calc|MGN'!D8</f>
        <v>0</v>
      </c>
    </row>
    <row r="11" spans="1:5">
      <c r="A11" s="82" t="s">
        <v>26</v>
      </c>
      <c r="B11" s="82"/>
      <c r="C11" s="12">
        <f>'Calc|MGN'!D9</f>
        <v>0.10239828354458712</v>
      </c>
    </row>
    <row r="12" spans="1:5">
      <c r="A12" s="82" t="s">
        <v>27</v>
      </c>
      <c r="B12" s="82"/>
      <c r="C12" s="12">
        <f>'Calc|MGN'!D10</f>
        <v>0.87093684483101541</v>
      </c>
    </row>
    <row r="13" spans="1:5">
      <c r="A13" s="82" t="s">
        <v>28</v>
      </c>
      <c r="B13" s="82"/>
      <c r="C13" s="12">
        <f>'Calc|MGN'!D11</f>
        <v>0</v>
      </c>
    </row>
    <row r="14" spans="1:5">
      <c r="A14" s="82" t="s">
        <v>29</v>
      </c>
      <c r="B14" s="82"/>
      <c r="C14" s="12">
        <f>'Calc|MGN'!D12</f>
        <v>2.4676388263994906</v>
      </c>
    </row>
    <row r="15" spans="1:5">
      <c r="A15" s="82" t="s">
        <v>15</v>
      </c>
      <c r="B15" s="82"/>
      <c r="C15" s="12">
        <f>'Calc|MGN'!D13</f>
        <v>0</v>
      </c>
    </row>
    <row r="16" spans="1:5">
      <c r="A16" s="82" t="s">
        <v>30</v>
      </c>
      <c r="B16" s="82"/>
      <c r="C16" s="12">
        <f>'Calc|MGN'!D14</f>
        <v>5.5228320456297944</v>
      </c>
    </row>
    <row r="17" spans="1:5">
      <c r="A17" s="82" t="s">
        <v>14</v>
      </c>
      <c r="B17" s="82"/>
      <c r="C17" s="12">
        <f>'Calc|MGN'!D15</f>
        <v>0.34620516739774182</v>
      </c>
    </row>
    <row r="18" spans="1:5">
      <c r="A18" s="82" t="s">
        <v>31</v>
      </c>
      <c r="B18" s="82"/>
      <c r="C18" s="12">
        <f>'Calc|MGN'!D16</f>
        <v>7.1688853596728275E-2</v>
      </c>
    </row>
    <row r="19" spans="1:5">
      <c r="A19" s="82" t="s">
        <v>13</v>
      </c>
      <c r="B19" s="82"/>
      <c r="C19" s="12">
        <f>'Calc|MGN'!D17</f>
        <v>0</v>
      </c>
    </row>
    <row r="20" spans="1:5">
      <c r="A20" s="14"/>
      <c r="B20" s="15"/>
    </row>
    <row r="21" spans="1:5">
      <c r="A21" s="84"/>
      <c r="B21" s="85"/>
    </row>
    <row r="22" spans="1:5"/>
    <row r="23" spans="1:5">
      <c r="A23" s="77" t="s">
        <v>69</v>
      </c>
      <c r="B23" s="77"/>
      <c r="C23" s="74"/>
      <c r="D23" s="13"/>
      <c r="E23" s="13"/>
    </row>
    <row r="24" spans="1:5">
      <c r="A24" s="3" t="s">
        <v>12</v>
      </c>
      <c r="B24" s="4"/>
      <c r="C24" s="76" t="s">
        <v>68</v>
      </c>
    </row>
    <row r="25" spans="1:5">
      <c r="A25" s="82" t="s">
        <v>20</v>
      </c>
      <c r="B25" s="82"/>
      <c r="C25" s="12">
        <v>0</v>
      </c>
    </row>
    <row r="26" spans="1:5">
      <c r="A26" s="82" t="s">
        <v>21</v>
      </c>
      <c r="B26" s="82"/>
      <c r="C26" s="12">
        <v>0</v>
      </c>
    </row>
    <row r="27" spans="1:5">
      <c r="A27" s="82" t="s">
        <v>22</v>
      </c>
      <c r="B27" s="82"/>
      <c r="C27" s="12">
        <v>0</v>
      </c>
    </row>
    <row r="28" spans="1:5">
      <c r="A28" s="82" t="s">
        <v>23</v>
      </c>
      <c r="B28" s="82"/>
      <c r="C28" s="12">
        <v>0</v>
      </c>
    </row>
    <row r="29" spans="1:5">
      <c r="A29" s="82" t="s">
        <v>24</v>
      </c>
      <c r="B29" s="82"/>
      <c r="C29" s="12">
        <v>0</v>
      </c>
    </row>
    <row r="30" spans="1:5">
      <c r="A30" s="82" t="s">
        <v>25</v>
      </c>
      <c r="B30" s="82"/>
      <c r="C30" s="12">
        <v>0</v>
      </c>
    </row>
    <row r="31" spans="1:5">
      <c r="A31" s="82" t="s">
        <v>26</v>
      </c>
      <c r="B31" s="82"/>
      <c r="C31" s="12">
        <v>0</v>
      </c>
    </row>
    <row r="32" spans="1:5">
      <c r="A32" s="82" t="s">
        <v>27</v>
      </c>
      <c r="B32" s="82"/>
      <c r="C32" s="12">
        <v>0</v>
      </c>
    </row>
    <row r="33" spans="1:5">
      <c r="A33" s="82" t="s">
        <v>28</v>
      </c>
      <c r="B33" s="82"/>
      <c r="C33" s="12">
        <v>0</v>
      </c>
    </row>
    <row r="34" spans="1:5">
      <c r="A34" s="82" t="s">
        <v>29</v>
      </c>
      <c r="B34" s="82"/>
      <c r="C34" s="12">
        <v>0</v>
      </c>
    </row>
    <row r="35" spans="1:5">
      <c r="A35" s="82" t="s">
        <v>15</v>
      </c>
      <c r="B35" s="82"/>
      <c r="C35" s="12">
        <v>0</v>
      </c>
    </row>
    <row r="36" spans="1:5">
      <c r="A36" s="82" t="s">
        <v>30</v>
      </c>
      <c r="B36" s="82"/>
      <c r="C36" s="12">
        <v>0</v>
      </c>
    </row>
    <row r="37" spans="1:5">
      <c r="A37" s="82" t="s">
        <v>14</v>
      </c>
      <c r="B37" s="82"/>
      <c r="C37" s="12">
        <v>0</v>
      </c>
    </row>
    <row r="38" spans="1:5">
      <c r="A38" s="82" t="s">
        <v>31</v>
      </c>
      <c r="B38" s="82"/>
      <c r="C38" s="12">
        <v>0</v>
      </c>
    </row>
    <row r="39" spans="1:5">
      <c r="A39" s="82" t="s">
        <v>13</v>
      </c>
      <c r="B39" s="82"/>
      <c r="C39" s="12">
        <v>0</v>
      </c>
    </row>
    <row r="40" spans="1:5">
      <c r="A40" s="14"/>
      <c r="B40" s="15"/>
    </row>
    <row r="41" spans="1:5">
      <c r="A41" s="84"/>
      <c r="B41" s="85"/>
    </row>
    <row r="42" spans="1:5"/>
    <row r="43" spans="1:5">
      <c r="A43" s="77" t="s">
        <v>70</v>
      </c>
      <c r="B43" s="77"/>
      <c r="C43" s="77"/>
      <c r="D43" s="13"/>
      <c r="E43" s="13"/>
    </row>
    <row r="44" spans="1:5">
      <c r="A44" s="3" t="s">
        <v>12</v>
      </c>
      <c r="B44" s="4"/>
      <c r="C44" s="76" t="s">
        <v>68</v>
      </c>
    </row>
    <row r="45" spans="1:5">
      <c r="A45" s="82" t="s">
        <v>20</v>
      </c>
      <c r="B45" s="82"/>
      <c r="C45" s="6">
        <f>'Calc|MGN'!D19</f>
        <v>4.5417277491592074</v>
      </c>
    </row>
    <row r="46" spans="1:5">
      <c r="A46" s="82" t="s">
        <v>21</v>
      </c>
      <c r="B46" s="82"/>
      <c r="C46" s="12">
        <v>0</v>
      </c>
    </row>
    <row r="47" spans="1:5">
      <c r="A47" s="82" t="s">
        <v>22</v>
      </c>
      <c r="B47" s="82"/>
      <c r="C47" s="12">
        <v>0</v>
      </c>
    </row>
    <row r="48" spans="1:5">
      <c r="A48" s="82" t="s">
        <v>23</v>
      </c>
      <c r="B48" s="82"/>
      <c r="C48" s="12">
        <v>0</v>
      </c>
    </row>
    <row r="49" spans="1:5">
      <c r="A49" s="82" t="s">
        <v>24</v>
      </c>
      <c r="B49" s="82"/>
      <c r="C49" s="12">
        <v>0</v>
      </c>
    </row>
    <row r="50" spans="1:5">
      <c r="A50" s="82" t="s">
        <v>25</v>
      </c>
      <c r="B50" s="82"/>
      <c r="C50" s="12">
        <v>0</v>
      </c>
    </row>
    <row r="51" spans="1:5">
      <c r="A51" s="82" t="s">
        <v>26</v>
      </c>
      <c r="B51" s="82"/>
      <c r="C51" s="12">
        <v>0</v>
      </c>
    </row>
    <row r="52" spans="1:5">
      <c r="A52" s="82" t="s">
        <v>27</v>
      </c>
      <c r="B52" s="82"/>
      <c r="C52" s="12">
        <v>0</v>
      </c>
    </row>
    <row r="53" spans="1:5">
      <c r="A53" s="82" t="s">
        <v>28</v>
      </c>
      <c r="B53" s="82"/>
      <c r="C53" s="12">
        <v>0</v>
      </c>
    </row>
    <row r="54" spans="1:5">
      <c r="A54" s="82" t="s">
        <v>29</v>
      </c>
      <c r="B54" s="82"/>
      <c r="C54" s="12">
        <v>0</v>
      </c>
    </row>
    <row r="55" spans="1:5">
      <c r="A55" s="82" t="s">
        <v>15</v>
      </c>
      <c r="B55" s="82"/>
      <c r="C55" s="12">
        <v>0</v>
      </c>
    </row>
    <row r="56" spans="1:5">
      <c r="A56" s="82" t="s">
        <v>30</v>
      </c>
      <c r="B56" s="82"/>
      <c r="C56" s="12">
        <v>0</v>
      </c>
    </row>
    <row r="57" spans="1:5">
      <c r="A57" s="82" t="s">
        <v>14</v>
      </c>
      <c r="B57" s="82"/>
      <c r="C57" s="12">
        <v>0</v>
      </c>
    </row>
    <row r="58" spans="1:5">
      <c r="A58" s="82" t="s">
        <v>31</v>
      </c>
      <c r="B58" s="82"/>
      <c r="C58" s="12">
        <v>0</v>
      </c>
    </row>
    <row r="59" spans="1:5">
      <c r="A59" s="82" t="s">
        <v>13</v>
      </c>
      <c r="B59" s="82"/>
      <c r="C59" s="12">
        <v>0</v>
      </c>
    </row>
    <row r="60" spans="1:5">
      <c r="A60" s="14"/>
      <c r="B60" s="15"/>
    </row>
    <row r="61" spans="1:5">
      <c r="A61" s="84"/>
      <c r="B61" s="85"/>
    </row>
    <row r="62" spans="1:5"/>
    <row r="63" spans="1:5" s="12" customFormat="1">
      <c r="A63" s="77"/>
      <c r="B63" s="77"/>
      <c r="C63" s="77"/>
      <c r="D63" s="13"/>
      <c r="E63" s="13"/>
    </row>
    <row r="64" spans="1:5">
      <c r="A64" s="12" t="s">
        <v>66</v>
      </c>
    </row>
  </sheetData>
  <mergeCells count="48">
    <mergeCell ref="A17:B17"/>
    <mergeCell ref="A21:B21"/>
    <mergeCell ref="A41:B41"/>
    <mergeCell ref="A61:B61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34:B34"/>
    <mergeCell ref="A18:B18"/>
    <mergeCell ref="A19:B19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51:B51"/>
    <mergeCell ref="A35:B35"/>
    <mergeCell ref="A36:B36"/>
    <mergeCell ref="A37:B37"/>
    <mergeCell ref="A38:B38"/>
    <mergeCell ref="A39:B39"/>
    <mergeCell ref="A45:B45"/>
    <mergeCell ref="A46:B46"/>
    <mergeCell ref="A47:B47"/>
    <mergeCell ref="A48:B48"/>
    <mergeCell ref="A49:B49"/>
    <mergeCell ref="A50:B50"/>
    <mergeCell ref="A58:B58"/>
    <mergeCell ref="A59:B59"/>
    <mergeCell ref="A52:B52"/>
    <mergeCell ref="A53:B53"/>
    <mergeCell ref="A54:B54"/>
    <mergeCell ref="A55:B55"/>
    <mergeCell ref="A56:B56"/>
    <mergeCell ref="A57:B57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3A451F03F4704FB5FAE1A60B1EDF9F" ma:contentTypeVersion="6" ma:contentTypeDescription="Create a new document." ma:contentTypeScope="" ma:versionID="cc8cb1fc46207191a236b05aee77f067">
  <xsd:schema xmlns:xsd="http://www.w3.org/2001/XMLSchema" xmlns:xs="http://www.w3.org/2001/XMLSchema" xmlns:p="http://schemas.microsoft.com/office/2006/metadata/properties" xmlns:ns2="4aa22311-0aa6-49bf-b937-287b6bed8a21" xmlns:ns3="73f80207-cc3a-4a49-82a7-36995251de47" targetNamespace="http://schemas.microsoft.com/office/2006/metadata/properties" ma:root="true" ma:fieldsID="93b15b804ab2ec9c62fab3b3ceed095a" ns2:_="" ns3:_="">
    <xsd:import namespace="4aa22311-0aa6-49bf-b937-287b6bed8a21"/>
    <xsd:import namespace="73f80207-cc3a-4a49-82a7-36995251de4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a22311-0aa6-49bf-b937-287b6bed8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80207-cc3a-4a49-82a7-36995251de4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ABD594-08FB-49F3-9FA7-B234CA7AB8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a22311-0aa6-49bf-b937-287b6bed8a21"/>
    <ds:schemaRef ds:uri="73f80207-cc3a-4a49-82a7-36995251de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74E1511-582C-4E28-AF56-E33C5AFAE34C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73f80207-cc3a-4a49-82a7-36995251de47"/>
    <ds:schemaRef ds:uri="4aa22311-0aa6-49bf-b937-287b6bed8a21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5EC9ED28-AC78-472D-A9F7-DD81F1CA2DF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Sheet1</vt:lpstr>
      <vt:lpstr>Cover</vt:lpstr>
      <vt:lpstr>Input|Inflation</vt:lpstr>
      <vt:lpstr>Input|Rate of change</vt:lpstr>
      <vt:lpstr>Calc|MGN</vt:lpstr>
      <vt:lpstr>Output|MGN</vt:lpstr>
      <vt:lpstr>Nominal_to_Real</vt:lpstr>
      <vt:lpstr>Real_to_Nominal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Brooke Palmer</dc:creator>
  <cp:lastModifiedBy>Brooke Palmer</cp:lastModifiedBy>
  <dcterms:created xsi:type="dcterms:W3CDTF">2021-03-24T04:52:44Z</dcterms:created>
  <dcterms:modified xsi:type="dcterms:W3CDTF">2022-03-30T22:28:49Z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0x010100103A451F03F4704FB5FAE1A60B1EDF9F</vt:lpwstr>
  </property>
</Properties>
</file>