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ion\03. Multinet\22.22.03 2018 GAAR\Models\PTRM &amp; RFM\PTRM Scenarios\Models for Submission\"/>
    </mc:Choice>
  </mc:AlternateContent>
  <bookViews>
    <workbookView xWindow="0" yWindow="0" windowWidth="25200" windowHeight="11385"/>
  </bookViews>
  <sheets>
    <sheet name="LP Total Write down" sheetId="10" r:id="rId1"/>
    <sheet name="Economic Assumptions" sheetId="2" r:id="rId2"/>
  </sheets>
  <externalReferences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nscount" hidden="1">1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A_Alt_Chks" localSheetId="0" hidden="1">#REF!</definedName>
    <definedName name="BA_Alt_Chks" hidden="1">#REF!</definedName>
    <definedName name="BA_Err_Chks" localSheetId="0" hidden="1">#REF!</definedName>
    <definedName name="BA_Err_Chks" hidden="1">#REF!</definedName>
    <definedName name="BA_LU" localSheetId="0" hidden="1">#REF!</definedName>
    <definedName name="BA_LU" hidden="1">#REF!</definedName>
    <definedName name="BA_Sens_Chks" localSheetId="0" hidden="1">#REF!</definedName>
    <definedName name="BA_Sens_Chks" hidden="1">#REF!</definedName>
    <definedName name="BA_TS_Ass" localSheetId="0" hidden="1">#REF!</definedName>
    <definedName name="BA_TS_Ass" hidden="1">#REF!</definedName>
    <definedName name="Err_Chk_1_Hdg" hidden="1">[1]AllocAssum_BA!$B$1</definedName>
    <definedName name="Err_Chk_10_Hdg" hidden="1">[1]FTEAssum_TA!$B$1</definedName>
    <definedName name="Err_Chk_11_Hdg" hidden="1">[1]FTEAssum_TA!$B$1</definedName>
    <definedName name="Err_Chk_12_Hdg" hidden="1">[1]FTE_Summary_TO!$B$1</definedName>
    <definedName name="Err_Chk_13_Hdg" hidden="1">'[1]UED Capex-Cal Yr'!$B$1</definedName>
    <definedName name="Err_Chk_14_Hdg" hidden="1">'[1]UED Capex-Fin Yr'!$B$1</definedName>
    <definedName name="Err_Chk_15_Hdg" hidden="1">'[1]UED Capex-Qtr'!$B$1</definedName>
    <definedName name="Err_Chk_16_Hdg" hidden="1">'[1]UED Capex-Month'!$B$1</definedName>
    <definedName name="Err_Chk_17_Hdg" hidden="1">'[1]UED Balance Sheet-Month'!$B$1</definedName>
    <definedName name="Err_Chk_18_Hdg" hidden="1">'[1]MGH Capex-Cal Yr'!$B$1</definedName>
    <definedName name="Err_Chk_19_Hdg" hidden="1">'[1]MGH Capex-Fin Yr'!$B$1</definedName>
    <definedName name="Err_Chk_2_Hdg" hidden="1">[1]FTEAssum_TA!$B$1</definedName>
    <definedName name="Err_Chk_20_Hdg" hidden="1">'[1]MGH Capex-Qtr'!$B$1</definedName>
    <definedName name="Err_Chk_21_Hdg" hidden="1">'[1]MGH Capex-Month'!$B$1</definedName>
    <definedName name="Err_Chk_22_Hdg" hidden="1">'[1]MGH Balance Sheet-Month'!$B$1</definedName>
    <definedName name="Err_Chk_23_Hdg" hidden="1">'[1]UED Sum by Function'!$B$1</definedName>
    <definedName name="Err_Chk_24_Hdg" hidden="1">'[1]UED Sum by Function'!$B$1</definedName>
    <definedName name="Err_Chk_25_Hdg" hidden="1">'[1]UED Sum by Account'!$B$1</definedName>
    <definedName name="Err_Chk_26_Hdg" hidden="1">'[1]MGH Sum by Function'!$B$1</definedName>
    <definedName name="Err_Chk_27_Hdg" hidden="1">'[1]MGH Sum by Function'!$B$1</definedName>
    <definedName name="Err_Chk_28_Hdg" hidden="1">'[1]MGH Sum by Account'!$B$1</definedName>
    <definedName name="Err_Chk_29_Hdg" hidden="1">'[1]AD Report'!$B$1</definedName>
    <definedName name="Err_Chk_3_Hdg" hidden="1">[1]FTEAssum_TA!$B$1</definedName>
    <definedName name="Err_Chk_30_Hdg" hidden="1">'[1]CEM Report'!$B$1</definedName>
    <definedName name="Err_Chk_31_Hdg" hidden="1">'[1]CEO Report'!$B$1</definedName>
    <definedName name="Err_Chk_32_Hdg" hidden="1">'[1]CMM Report'!$B$1</definedName>
    <definedName name="Err_Chk_33_Hdg" hidden="1">'[1]COM Report'!$B$1</definedName>
    <definedName name="Err_Chk_34_Hdg" hidden="1">'[1]FIN Report'!$B$1</definedName>
    <definedName name="Err_Chk_35_Hdg" hidden="1">'[1]HR Report'!$B$1</definedName>
    <definedName name="Err_Chk_36_Hdg" hidden="1">'[1]IT Report'!$B$1</definedName>
    <definedName name="Err_Chk_37_Hdg" hidden="1">'[1]NIT Report'!$B$1</definedName>
    <definedName name="Err_Chk_38_Hdg" hidden="1">'[1]OHS Report'!$B$1</definedName>
    <definedName name="Err_Chk_39_Hdg" hidden="1">'[1]REG Report'!$B$1</definedName>
    <definedName name="Err_Chk_4_Hdg" hidden="1">[1]AllocAssum_BA!$B$1</definedName>
    <definedName name="Err_Chk_40_Hdg" hidden="1">'[1]RISK Report'!$B$1</definedName>
    <definedName name="Err_Chk_41_Hdg" hidden="1">'[1]SDN Report'!$B$1</definedName>
    <definedName name="Err_Chk_42_Hdg" hidden="1">'[1]SDS Report'!$B$1</definedName>
    <definedName name="Err_Chk_5_Hdg" hidden="1">[1]AllocAssum_BA!$B$1</definedName>
    <definedName name="Err_Chk_6_Hdg" hidden="1">[1]AllocAssum_BA!$B$1</definedName>
    <definedName name="Err_Chk_7_Hdg" hidden="1">[1]FTEAssum_TA!$B$1</definedName>
    <definedName name="Err_Chk_8_Hdg" hidden="1">[1]FTEAssum_TA!$B$1</definedName>
    <definedName name="Err_Chk_9_Hdg" hidden="1">[1]FTEAssum_TA!$B$1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HL_Err_Chk_1" hidden="1">[1]AllocAssum_BA!$F$37</definedName>
    <definedName name="HL_Err_Chk_10" hidden="1">[1]FTEAssum_TA!$G$1064</definedName>
    <definedName name="HL_Err_Chk_11" hidden="1">[1]FTEAssum_TA!$G$1274</definedName>
    <definedName name="HL_Err_Chk_12" hidden="1">[1]FTE_Summary_TO!$I$123</definedName>
    <definedName name="HL_Err_Chk_13" hidden="1">'[1]UED Capex-Cal Yr'!$F$87</definedName>
    <definedName name="HL_Err_Chk_14" hidden="1">'[1]UED Capex-Fin Yr'!$F$87</definedName>
    <definedName name="HL_Err_Chk_15" hidden="1">'[1]UED Capex-Qtr'!$F$87</definedName>
    <definedName name="HL_Err_Chk_16" hidden="1">'[1]UED Capex-Month'!$F$96</definedName>
    <definedName name="HL_Err_Chk_17" hidden="1">'[1]UED Balance Sheet-Month'!$F$90</definedName>
    <definedName name="HL_Err_Chk_18" hidden="1">'[1]MGH Capex-Cal Yr'!$F$69</definedName>
    <definedName name="HL_Err_Chk_19" hidden="1">'[1]MGH Capex-Fin Yr'!$F$69</definedName>
    <definedName name="HL_Err_Chk_2" hidden="1">[1]FTEAssum_TA!$K$224</definedName>
    <definedName name="HL_Err_Chk_20" hidden="1">'[1]MGH Capex-Qtr'!$F$69</definedName>
    <definedName name="HL_Err_Chk_21" hidden="1">'[1]MGH Capex-Month'!$F$78</definedName>
    <definedName name="HL_Err_Chk_22" hidden="1">'[1]MGH Balance Sheet-Month'!$F$70</definedName>
    <definedName name="HL_Err_Chk_23" hidden="1">'[1]UED Sum by Function'!$F$170</definedName>
    <definedName name="HL_Err_Chk_24" hidden="1">'[1]UED Sum by Function'!$F$171</definedName>
    <definedName name="HL_Err_Chk_25" hidden="1">'[1]UED Sum by Account'!$F$155</definedName>
    <definedName name="HL_Err_Chk_26" hidden="1">'[1]MGH Sum by Function'!$F$166</definedName>
    <definedName name="HL_Err_Chk_27" hidden="1">'[1]MGH Sum by Function'!$F$167</definedName>
    <definedName name="HL_Err_Chk_28" hidden="1">'[1]MGH Sum by Account'!$F$154</definedName>
    <definedName name="HL_Err_Chk_29" hidden="1">'[1]AD Report'!$P$420</definedName>
    <definedName name="HL_Err_Chk_3" hidden="1">[1]FTEAssum_TA!$G$224</definedName>
    <definedName name="HL_Err_Chk_30" hidden="1">'[1]CEM Report'!$G$255</definedName>
    <definedName name="HL_Err_Chk_31" hidden="1">'[1]CEO Report'!$G$255</definedName>
    <definedName name="HL_Err_Chk_32" hidden="1">'[1]CMM Report'!$G$255</definedName>
    <definedName name="HL_Err_Chk_33" hidden="1">'[1]COM Report'!$G$255</definedName>
    <definedName name="HL_Err_Chk_34" hidden="1">'[1]FIN Report'!$G$255</definedName>
    <definedName name="HL_Err_Chk_35" hidden="1">'[1]HR Report'!$G$237</definedName>
    <definedName name="HL_Err_Chk_36" hidden="1">'[1]IT Report'!$G$237</definedName>
    <definedName name="HL_Err_Chk_37" hidden="1">'[1]NIT Report'!$G$255</definedName>
    <definedName name="HL_Err_Chk_38" hidden="1">'[1]OHS Report'!$G$255</definedName>
    <definedName name="HL_Err_Chk_39" hidden="1">'[1]REG Report'!$G$255</definedName>
    <definedName name="HL_Err_Chk_4" hidden="1">[1]AllocAssum_BA!$F$65</definedName>
    <definedName name="HL_Err_Chk_40" hidden="1">'[1]RISK Report'!$G$255</definedName>
    <definedName name="HL_Err_Chk_41" hidden="1">'[1]SDN Report'!$G$255</definedName>
    <definedName name="HL_Err_Chk_42" hidden="1">'[1]SDS Report'!$G$255</definedName>
    <definedName name="HL_Err_Chk_5" hidden="1">[1]AllocAssum_BA!$F$93</definedName>
    <definedName name="HL_Err_Chk_6" hidden="1">[1]AllocAssum_BA!$F$122</definedName>
    <definedName name="HL_Err_Chk_7" hidden="1">[1]FTEAssum_TA!$G$434</definedName>
    <definedName name="HL_Err_Chk_8" hidden="1">[1]FTEAssum_TA!$G$644</definedName>
    <definedName name="HL_Err_Chk_9" hidden="1">[1]FTEAssum_TA!$G$854</definedName>
    <definedName name="HL_Sheet_Main" localSheetId="0" hidden="1">#REF!</definedName>
    <definedName name="HL_Sheet_Main" hidden="1">#REF!</definedName>
    <definedName name="HL_Sheet_Main_10" localSheetId="0" hidden="1">#REF!</definedName>
    <definedName name="HL_Sheet_Main_10" hidden="1">#REF!</definedName>
    <definedName name="HL_Sheet_Main_11" localSheetId="0" hidden="1">#REF!</definedName>
    <definedName name="HL_Sheet_Main_11" hidden="1">#REF!</definedName>
    <definedName name="HL_Sheet_Main_12" localSheetId="0" hidden="1">#REF!</definedName>
    <definedName name="HL_Sheet_Main_12" hidden="1">#REF!</definedName>
    <definedName name="HL_Sheet_Main_13" localSheetId="0" hidden="1">#REF!</definedName>
    <definedName name="HL_Sheet_Main_13" hidden="1">#REF!</definedName>
    <definedName name="HL_Sheet_Main_14" localSheetId="0" hidden="1">#REF!</definedName>
    <definedName name="HL_Sheet_Main_14" hidden="1">#REF!</definedName>
    <definedName name="HL_Sheet_Main_15" localSheetId="0" hidden="1">#REF!</definedName>
    <definedName name="HL_Sheet_Main_15" hidden="1">#REF!</definedName>
    <definedName name="HL_Sheet_Main_16" localSheetId="0" hidden="1">#REF!</definedName>
    <definedName name="HL_Sheet_Main_16" hidden="1">#REF!</definedName>
    <definedName name="HL_Sheet_Main_2" localSheetId="0" hidden="1">#REF!</definedName>
    <definedName name="HL_Sheet_Main_2" hidden="1">#REF!</definedName>
    <definedName name="HL_Sheet_Main_3" localSheetId="0" hidden="1">#REF!</definedName>
    <definedName name="HL_Sheet_Main_3" hidden="1">#REF!</definedName>
    <definedName name="HL_Sheet_Main_4" localSheetId="0" hidden="1">#REF!</definedName>
    <definedName name="HL_Sheet_Main_4" hidden="1">#REF!</definedName>
    <definedName name="HL_Sheet_Main_5" localSheetId="0" hidden="1">#REF!</definedName>
    <definedName name="HL_Sheet_Main_5" hidden="1">#REF!</definedName>
    <definedName name="HL_Sheet_Main_6" localSheetId="0" hidden="1">#REF!</definedName>
    <definedName name="HL_Sheet_Main_6" hidden="1">#REF!</definedName>
    <definedName name="HL_Sheet_Main_7" localSheetId="0" hidden="1">#REF!</definedName>
    <definedName name="HL_Sheet_Main_7" hidden="1">#REF!</definedName>
    <definedName name="HL_Sheet_Main_8" localSheetId="0" hidden="1">#REF!</definedName>
    <definedName name="HL_Sheet_Main_8" hidden="1">#REF!</definedName>
    <definedName name="HL_Sheet_Main_9" localSheetId="0" hidden="1">#REF!</definedName>
    <definedName name="HL_Sheet_Main_9" hidden="1">#REF!</definedName>
    <definedName name="HL_TOC_1" localSheetId="0" hidden="1">#REF!</definedName>
    <definedName name="HL_TOC_1" hidden="1">#REF!</definedName>
    <definedName name="HL_TOC_2" localSheetId="0" hidden="1">#REF!</definedName>
    <definedName name="HL_TOC_2" hidden="1">#REF!</definedName>
    <definedName name="HL_TOC_3" localSheetId="0" hidden="1">#REF!</definedName>
    <definedName name="HL_TOC_3" hidden="1">#REF!</definedName>
    <definedName name="HL_TOC_4" localSheetId="0" hidden="1">#REF!</definedName>
    <definedName name="HL_TOC_4" hidden="1">#REF!</definedName>
    <definedName name="HL_TOC_5" localSheetId="0" hidden="1">#REF!</definedName>
    <definedName name="HL_TOC_5" hidden="1">#REF!</definedName>
    <definedName name="Integrity_Master" localSheetId="1">[2]Inputs_Gen!$H$888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imcount" hidden="1">2</definedName>
    <definedName name="Pal_Workbook_GUID" hidden="1">"2G8BUMD4KTWF6AF8GVHYWWJF"</definedName>
    <definedName name="RA_TS_Ass_Actual_Per_Title" localSheetId="0" hidden="1">#REF!</definedName>
    <definedName name="RA_TS_Ass_Actual_Per_Title" hidden="1">#REF!</definedName>
    <definedName name="RA_TS_Ass_Actual_Pers" localSheetId="0" hidden="1">#REF!</definedName>
    <definedName name="RA_TS_Ass_Actual_Pers" hidden="1">#REF!</definedName>
    <definedName name="RA_TS_Ass_Budget_Per_Title" localSheetId="0" hidden="1">#REF!</definedName>
    <definedName name="RA_TS_Ass_Budget_Per_Title" hidden="1">#REF!</definedName>
    <definedName name="RA_TS_Ass_Budget_Pers" localSheetId="0" hidden="1">#REF!</definedName>
    <definedName name="RA_TS_Ass_Budget_Pers" hidden="1">#REF!</definedName>
    <definedName name="RA_TS_Ass_Core_Fin_YE" localSheetId="0" hidden="1">#REF!</definedName>
    <definedName name="RA_TS_Ass_Core_Fin_YE" hidden="1">#REF!</definedName>
    <definedName name="RA_TS_Ass_Core_Main_Ass_Hdg" localSheetId="0" hidden="1">#REF!</definedName>
    <definedName name="RA_TS_Ass_Core_Main_Ass_Hdg" hidden="1">#REF!</definedName>
    <definedName name="RA_TS_Ass_Core_Main_Ass_Hdg_Spacer" localSheetId="0" hidden="1">#REF!</definedName>
    <definedName name="RA_TS_Ass_Core_Main_Ass_Hdg_Spacer" hidden="1">#REF!</definedName>
    <definedName name="RA_TS_Ass_Core_Main_Ass_Spacer" localSheetId="0" hidden="1">#REF!</definedName>
    <definedName name="RA_TS_Ass_Core_Main_Ass_Spacer" hidden="1">#REF!</definedName>
    <definedName name="RA_TS_Ass_Core_Main_Hdg" localSheetId="0" hidden="1">#REF!</definedName>
    <definedName name="RA_TS_Ass_Core_Main_Hdg" hidden="1">#REF!</definedName>
    <definedName name="RA_TS_Ass_Core_Main_Hdg_Spacer1" localSheetId="0" hidden="1">#REF!</definedName>
    <definedName name="RA_TS_Ass_Core_Main_Hdg_Spacer1" hidden="1">#REF!</definedName>
    <definedName name="RA_TS_Ass_Core_Main_Hdg_Spacer2" localSheetId="0" hidden="1">#REF!</definedName>
    <definedName name="RA_TS_Ass_Core_Main_Hdg_Spacer2" hidden="1">#REF!</definedName>
    <definedName name="RA_TS_Ass_Data_Ass_Spacer" localSheetId="0" hidden="1">#REF!</definedName>
    <definedName name="RA_TS_Ass_Data_Ass_Spacer" hidden="1">#REF!</definedName>
    <definedName name="RA_TS_Ass_Data_End_Date" localSheetId="0" hidden="1">#REF!</definedName>
    <definedName name="RA_TS_Ass_Data_End_Date" hidden="1">#REF!</definedName>
    <definedName name="RA_TS_Ass_Data_Final_Stub" localSheetId="0" hidden="1">#REF!</definedName>
    <definedName name="RA_TS_Ass_Data_Final_Stub" hidden="1">#REF!</definedName>
    <definedName name="RA_TS_Ass_Data_Full_Pers" localSheetId="0" hidden="1">#REF!</definedName>
    <definedName name="RA_TS_Ass_Data_Full_Pers" hidden="1">#REF!</definedName>
    <definedName name="RA_TS_Ass_Data_Hdg" localSheetId="0" hidden="1">#REF!</definedName>
    <definedName name="RA_TS_Ass_Data_Hdg" hidden="1">#REF!</definedName>
    <definedName name="RA_TS_Ass_Data_Hdg_Spacer" localSheetId="0" hidden="1">#REF!</definedName>
    <definedName name="RA_TS_Ass_Data_Hdg_Spacer" hidden="1">#REF!</definedName>
    <definedName name="RA_TS_Ass_Data_Pers_Ass" localSheetId="0" hidden="1">#REF!</definedName>
    <definedName name="RA_TS_Ass_Data_Pers_Ass" hidden="1">#REF!</definedName>
    <definedName name="RA_TS_Ass_Data_Proj_Ass_Spacer" localSheetId="0" hidden="1">#REF!</definedName>
    <definedName name="RA_TS_Ass_Data_Proj_Ass_Spacer" hidden="1">#REF!</definedName>
    <definedName name="RA_TS_Ass_Data_Proj_Hdg" localSheetId="0" hidden="1">#REF!</definedName>
    <definedName name="RA_TS_Ass_Data_Proj_Hdg" hidden="1">#REF!</definedName>
    <definedName name="RA_TS_Ass_Data_Proj_Hdg_Spacer" localSheetId="0" hidden="1">#REF!</definedName>
    <definedName name="RA_TS_Ass_Data_Proj_Hdg_Spacer" hidden="1">#REF!</definedName>
    <definedName name="RA_TS_Ass_Data_Term_Basis" localSheetId="0" hidden="1">#REF!</definedName>
    <definedName name="RA_TS_Ass_Data_Term_Basis" hidden="1">#REF!</definedName>
    <definedName name="RA_TS_Ass_Data_Total_Pers" localSheetId="0" hidden="1">#REF!</definedName>
    <definedName name="RA_TS_Ass_Data_Total_Pers" hidden="1">#REF!</definedName>
    <definedName name="RA_TS_Ass_Denom" localSheetId="0" hidden="1">#REF!</definedName>
    <definedName name="RA_TS_Ass_Denom" hidden="1">#REF!</definedName>
    <definedName name="RA_TS_Ass_Denom_Label" localSheetId="0" hidden="1">#REF!</definedName>
    <definedName name="RA_TS_Ass_Denom_Label" hidden="1">#REF!</definedName>
    <definedName name="RA_TS_Ass_Fcast_Per_Title" localSheetId="0" hidden="1">#REF!</definedName>
    <definedName name="RA_TS_Ass_Fcast_Per_Title" hidden="1">#REF!</definedName>
    <definedName name="RA_TS_Ass_Hist_Fcast_Ass_Spacer" localSheetId="0" hidden="1">#REF!</definedName>
    <definedName name="RA_TS_Ass_Hist_Fcast_Ass_Spacer" hidden="1">#REF!</definedName>
    <definedName name="RA_TS_Ass_Hist_Fcast_Hdg" localSheetId="0" hidden="1">#REF!</definedName>
    <definedName name="RA_TS_Ass_Hist_Fcast_Hdg" hidden="1">#REF!</definedName>
    <definedName name="RA_TS_Ass_Hist_Fcast_Hdg_Spacer" localSheetId="0" hidden="1">#REF!</definedName>
    <definedName name="RA_TS_Ass_Hist_Fcast_Hdg_Spacer" hidden="1">#REF!</definedName>
    <definedName name="RA_TS_Ass_Mth_End" localSheetId="0" hidden="1">#REF!</definedName>
    <definedName name="RA_TS_Ass_Mth_End" hidden="1">#REF!</definedName>
    <definedName name="RA_TS_Ass_Mths_In_Per" localSheetId="0" hidden="1">#REF!</definedName>
    <definedName name="RA_TS_Ass_Mths_In_Per" hidden="1">#REF!</definedName>
    <definedName name="RA_TS_Ass_Note_Budget_Per" localSheetId="0" hidden="1">#REF!</definedName>
    <definedName name="RA_TS_Ass_Note_Budget_Per" hidden="1">#REF!</definedName>
    <definedName name="RA_TS_Ass_Note_Data_Proj_Timing" localSheetId="0" hidden="1">#REF!</definedName>
    <definedName name="RA_TS_Ass_Note_Data_Proj_Timing" hidden="1">#REF!</definedName>
    <definedName name="RA_TS_Ass_Note_Denom" localSheetId="0" hidden="1">#REF!</definedName>
    <definedName name="RA_TS_Ass_Note_Denom" hidden="1">#REF!</definedName>
    <definedName name="RA_TS_Ass_Note_Fin_YE" localSheetId="0" hidden="1">#REF!</definedName>
    <definedName name="RA_TS_Ass_Note_Fin_YE" hidden="1">#REF!</definedName>
    <definedName name="RA_TS_Ass_Note_Inactive_Cols_Treat" localSheetId="0" hidden="1">#REF!</definedName>
    <definedName name="RA_TS_Ass_Note_Inactive_Cols_Treat" hidden="1">#REF!</definedName>
    <definedName name="RA_TS_Ass_Notes_Hdg" localSheetId="0" hidden="1">#REF!</definedName>
    <definedName name="RA_TS_Ass_Notes_Hdg" hidden="1">#REF!</definedName>
    <definedName name="RA_TS_Ass_Notes_Hdg_Spacer" localSheetId="0" hidden="1">#REF!</definedName>
    <definedName name="RA_TS_Ass_Notes_Hdg_Spacer" hidden="1">#REF!</definedName>
    <definedName name="RA_TS_Ass_Per_1_End_Date" localSheetId="0" hidden="1">#REF!</definedName>
    <definedName name="RA_TS_Ass_Per_1_End_Date" hidden="1">#REF!</definedName>
    <definedName name="RA_TS_Ass_Per_1_FY_End_Date" localSheetId="0" hidden="1">#REF!</definedName>
    <definedName name="RA_TS_Ass_Per_1_FY_End_Date" hidden="1">#REF!</definedName>
    <definedName name="RA_TS_Ass_Per_1_FY_Start_Date" localSheetId="0" hidden="1">#REF!</definedName>
    <definedName name="RA_TS_Ass_Per_1_FY_Start_Date" hidden="1">#REF!</definedName>
    <definedName name="RA_TS_Ass_Per_1_Number" localSheetId="0" hidden="1">#REF!</definedName>
    <definedName name="RA_TS_Ass_Per_1_Number" hidden="1">#REF!</definedName>
    <definedName name="RA_TS_Ass_Per_1_Start_Date" localSheetId="0" hidden="1">#REF!</definedName>
    <definedName name="RA_TS_Ass_Per_1_Start_Date" hidden="1">#REF!</definedName>
    <definedName name="RA_TS_Ass_Per_Type_Name" localSheetId="0" hidden="1">#REF!</definedName>
    <definedName name="RA_TS_Ass_Per_Type_Name" hidden="1">#REF!</definedName>
    <definedName name="RA_TS_Ass_Per_Type_Prefix" localSheetId="0" hidden="1">#REF!</definedName>
    <definedName name="RA_TS_Ass_Per_Type_Prefix" hidden="1">#REF!</definedName>
    <definedName name="RA_TS_Ass_Periodicity" localSheetId="0" hidden="1">#REF!</definedName>
    <definedName name="RA_TS_Ass_Periodicity" hidden="1">#REF!</definedName>
    <definedName name="RA_TS_Ass_Pers_In_Yr" localSheetId="0" hidden="1">#REF!</definedName>
    <definedName name="RA_TS_Ass_Pers_In_Yr" hidden="1">#REF!</definedName>
    <definedName name="RA_TS_Ass_Proj_Ass_Spacer" localSheetId="0" hidden="1">#REF!</definedName>
    <definedName name="RA_TS_Ass_Proj_Ass_Spacer" hidden="1">#REF!</definedName>
    <definedName name="RA_TS_Ass_Proj_Hdg" localSheetId="0" hidden="1">#REF!</definedName>
    <definedName name="RA_TS_Ass_Proj_Hdg" hidden="1">#REF!</definedName>
    <definedName name="RA_TS_Ass_Proj_Hdg_Spacer" localSheetId="0" hidden="1">#REF!</definedName>
    <definedName name="RA_TS_Ass_Proj_Hdg_Spacer" hidden="1">#REF!</definedName>
    <definedName name="RA_TS_Ass_Proj_Per_1_End_Date" localSheetId="0" hidden="1">#REF!</definedName>
    <definedName name="RA_TS_Ass_Proj_Per_1_End_Date" hidden="1">#REF!</definedName>
    <definedName name="RA_TS_Ass_Proj_Per_1_FY_End_Date" localSheetId="0" hidden="1">#REF!</definedName>
    <definedName name="RA_TS_Ass_Proj_Per_1_FY_End_Date" hidden="1">#REF!</definedName>
    <definedName name="RA_TS_Ass_Proj_Per_1_FY_Start_Date" localSheetId="0" hidden="1">#REF!</definedName>
    <definedName name="RA_TS_Ass_Proj_Per_1_FY_Start_Date" hidden="1">#REF!</definedName>
    <definedName name="RA_TS_Ass_Proj_Per_1_Number" localSheetId="0" hidden="1">#REF!</definedName>
    <definedName name="RA_TS_Ass_Proj_Per_1_Number" hidden="1">#REF!</definedName>
    <definedName name="RA_TS_Ass_Proj_Per_1_Start_Date" localSheetId="0" hidden="1">#REF!</definedName>
    <definedName name="RA_TS_Ass_Proj_Per_1_Start_Date" hidden="1">#REF!</definedName>
    <definedName name="RA_TS_Ass_Proj_Start_Date" localSheetId="0" hidden="1">#REF!</definedName>
    <definedName name="RA_TS_Ass_Proj_Start_Date" hidden="1">#REF!</definedName>
    <definedName name="RA_TS_Ass_Proj_Start_Date_Ass" localSheetId="0" hidden="1">#REF!</definedName>
    <definedName name="RA_TS_Ass_Proj_Start_Date_Ass" hidden="1">#REF!</definedName>
    <definedName name="RA_TS_Ass_Show_Hist_Fcast_Pers" localSheetId="0" hidden="1">#REF!</definedName>
    <definedName name="RA_TS_Ass_Show_Hist_Fcast_Pers" hidden="1">#REF!</definedName>
    <definedName name="RA_TS_Ass_Start_Date" localSheetId="0" hidden="1">#REF!</definedName>
    <definedName name="RA_TS_Ass_Start_Date" hidden="1">#REF!</definedName>
    <definedName name="RA_TS_Ass_Std_Pers" localSheetId="0" hidden="1">#REF!</definedName>
    <definedName name="RA_TS_Ass_Std_Pers" hidden="1">#REF!</definedName>
    <definedName name="RA_TS_Ass_Title" localSheetId="0" hidden="1">#REF!</definedName>
    <definedName name="RA_TS_Ass_Title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"Set_P0_RevenueCap"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TRUE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2</definedName>
    <definedName name="TOC_Hdg_1" localSheetId="0" hidden="1">#REF!</definedName>
    <definedName name="TOC_Hdg_1" hidden="1">#REF!</definedName>
    <definedName name="TOC_Hdg_2" localSheetId="0" hidden="1">#REF!</definedName>
    <definedName name="TOC_Hdg_2" hidden="1">#REF!</definedName>
    <definedName name="TOC_Hdg_3" hidden="1">[1]Checks_BO!$B$7</definedName>
    <definedName name="TOC_Hdg_4" hidden="1">[1]Checks_BO!$B$66</definedName>
    <definedName name="TOC_Hdg_5" hidden="1">[1]Checks_BO!$B$82</definedName>
    <definedName name="wrn.TEST." hidden="1">{#N/A,#N/A,FALSE,"MGH income-Support";#N/A,#N/A,FALSE,"MGN balance sheet-Support"}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AA29" i="10" l="1"/>
  <c r="AA28" i="10"/>
  <c r="AA30" i="10" s="1"/>
  <c r="AA27" i="10"/>
  <c r="AA19" i="10" l="1"/>
  <c r="AA22" i="10"/>
  <c r="X33" i="10" l="1"/>
  <c r="T30" i="10"/>
  <c r="S30" i="10"/>
  <c r="R30" i="10"/>
  <c r="Q30" i="10"/>
  <c r="P30" i="10"/>
  <c r="O30" i="10"/>
  <c r="N30" i="10"/>
  <c r="M30" i="10"/>
  <c r="L30" i="10"/>
  <c r="K30" i="10"/>
  <c r="J30" i="10"/>
  <c r="I30" i="10"/>
  <c r="I28" i="10"/>
  <c r="R22" i="10"/>
  <c r="Q22" i="10"/>
  <c r="P22" i="10"/>
  <c r="O22" i="10"/>
  <c r="N22" i="10"/>
  <c r="M22" i="10"/>
  <c r="L22" i="10"/>
  <c r="K22" i="10"/>
  <c r="J22" i="10"/>
  <c r="I22" i="10"/>
  <c r="I31" i="10"/>
  <c r="Y28" i="10" l="1"/>
  <c r="Y29" i="10" s="1"/>
  <c r="Y30" i="10" s="1"/>
  <c r="D39" i="2"/>
  <c r="D12" i="10" l="1"/>
  <c r="E28" i="10" s="1"/>
  <c r="B10" i="10"/>
  <c r="E20" i="10" l="1"/>
  <c r="F29" i="10" l="1"/>
  <c r="G29" i="10" s="1"/>
  <c r="H29" i="10" s="1"/>
  <c r="I29" i="10" s="1"/>
  <c r="J29" i="10" s="1"/>
  <c r="K29" i="10" s="1"/>
  <c r="L29" i="10" s="1"/>
  <c r="M29" i="10" s="1"/>
  <c r="N29" i="10" s="1"/>
  <c r="O29" i="10" s="1"/>
  <c r="P29" i="10" s="1"/>
  <c r="Q29" i="10" s="1"/>
  <c r="R29" i="10" s="1"/>
  <c r="S29" i="10" s="1"/>
  <c r="T29" i="10" s="1"/>
  <c r="U29" i="10" s="1"/>
  <c r="V29" i="10" s="1"/>
  <c r="W29" i="10" s="1"/>
  <c r="F28" i="10"/>
  <c r="G28" i="10" s="1"/>
  <c r="H28" i="10" s="1"/>
  <c r="J28" i="10" s="1"/>
  <c r="K28" i="10" s="1"/>
  <c r="L28" i="10" s="1"/>
  <c r="M28" i="10" s="1"/>
  <c r="N28" i="10" s="1"/>
  <c r="O28" i="10" s="1"/>
  <c r="P28" i="10" s="1"/>
  <c r="Q28" i="10" s="1"/>
  <c r="R28" i="10" s="1"/>
  <c r="S28" i="10" s="1"/>
  <c r="T28" i="10" s="1"/>
  <c r="U28" i="10" s="1"/>
  <c r="V28" i="10" s="1"/>
  <c r="W28" i="10" s="1"/>
  <c r="B16" i="10"/>
  <c r="F20" i="10"/>
  <c r="G20" i="10" s="1"/>
  <c r="H20" i="10" s="1"/>
  <c r="J20" i="10" s="1"/>
  <c r="K20" i="10" s="1"/>
  <c r="L20" i="10" s="1"/>
  <c r="M20" i="10" s="1"/>
  <c r="N20" i="10" s="1"/>
  <c r="O20" i="10" s="1"/>
  <c r="P20" i="10" s="1"/>
  <c r="Q20" i="10" s="1"/>
  <c r="R20" i="10" s="1"/>
  <c r="S20" i="10" s="1"/>
  <c r="T20" i="10" s="1"/>
  <c r="U20" i="10" s="1"/>
  <c r="V20" i="10" s="1"/>
  <c r="W20" i="10" s="1"/>
  <c r="B17" i="10" l="1"/>
  <c r="C5" i="10" l="1"/>
  <c r="C12" i="10" s="1"/>
  <c r="B12" i="10" s="1"/>
  <c r="D32" i="10" s="1"/>
  <c r="D24" i="10" l="1"/>
  <c r="E22" i="10" s="1"/>
  <c r="F21" i="10"/>
  <c r="G21" i="10" s="1"/>
  <c r="H21" i="10" s="1"/>
  <c r="I21" i="10" s="1"/>
  <c r="J21" i="10" s="1"/>
  <c r="K21" i="10" s="1"/>
  <c r="L21" i="10" s="1"/>
  <c r="M21" i="10" s="1"/>
  <c r="N21" i="10" s="1"/>
  <c r="O21" i="10" s="1"/>
  <c r="P21" i="10" s="1"/>
  <c r="Q21" i="10" s="1"/>
  <c r="R21" i="10" s="1"/>
  <c r="S21" i="10" s="1"/>
  <c r="T21" i="10" s="1"/>
  <c r="U21" i="10" s="1"/>
  <c r="V21" i="10" s="1"/>
  <c r="W21" i="10" s="1"/>
  <c r="E30" i="10" l="1"/>
  <c r="E31" i="10"/>
  <c r="E32" i="10" l="1"/>
  <c r="E23" i="10"/>
  <c r="F30" i="10" l="1"/>
  <c r="F31" i="10"/>
  <c r="E24" i="10"/>
  <c r="F22" i="10" s="1"/>
  <c r="F32" i="10" l="1"/>
  <c r="F23" i="10"/>
  <c r="G31" i="10" l="1"/>
  <c r="G30" i="10"/>
  <c r="F24" i="10"/>
  <c r="G22" i="10" s="1"/>
  <c r="G32" i="10" l="1"/>
  <c r="H31" i="10" s="1"/>
  <c r="G23" i="10"/>
  <c r="H30" i="10" l="1"/>
  <c r="H32" i="10" s="1"/>
  <c r="G24" i="10"/>
  <c r="H22" i="10" s="1"/>
  <c r="H23" i="10" l="1"/>
  <c r="I32" i="10" l="1"/>
  <c r="H24" i="10"/>
  <c r="I23" i="10" l="1"/>
  <c r="J31" i="10"/>
  <c r="J32" i="10" l="1"/>
  <c r="I24" i="10"/>
  <c r="K31" i="10" l="1"/>
  <c r="J23" i="10"/>
  <c r="J24" i="10" s="1"/>
  <c r="K32" i="10" l="1"/>
  <c r="L31" i="10" l="1"/>
  <c r="K23" i="10"/>
  <c r="K24" i="10" s="1"/>
  <c r="L32" i="10" l="1"/>
  <c r="M31" i="10" l="1"/>
  <c r="L23" i="10"/>
  <c r="M32" i="10" l="1"/>
  <c r="L24" i="10"/>
  <c r="N31" i="10" l="1"/>
  <c r="M23" i="10"/>
  <c r="N32" i="10" l="1"/>
  <c r="M24" i="10"/>
  <c r="O31" i="10" l="1"/>
  <c r="N23" i="10"/>
  <c r="O32" i="10" l="1"/>
  <c r="N24" i="10"/>
  <c r="P31" i="10" l="1"/>
  <c r="O23" i="10"/>
  <c r="P32" i="10" l="1"/>
  <c r="O24" i="10"/>
  <c r="Q31" i="10" l="1"/>
  <c r="P23" i="10"/>
  <c r="Q32" i="10" l="1"/>
  <c r="P24" i="10"/>
  <c r="R31" i="10" l="1"/>
  <c r="Q23" i="10"/>
  <c r="R32" i="10" l="1"/>
  <c r="Q24" i="10"/>
  <c r="S31" i="10" l="1"/>
  <c r="R23" i="10"/>
  <c r="S32" i="10" l="1"/>
  <c r="R24" i="10"/>
  <c r="V22" i="10" l="1"/>
  <c r="U22" i="10"/>
  <c r="T22" i="10"/>
  <c r="W22" i="10"/>
  <c r="S22" i="10"/>
  <c r="T31" i="10"/>
  <c r="S23" i="10"/>
  <c r="T32" i="10" l="1"/>
  <c r="U30" i="10" s="1"/>
  <c r="S24" i="10"/>
  <c r="U31" i="10" l="1"/>
  <c r="T23" i="10"/>
  <c r="U32" i="10" l="1"/>
  <c r="V30" i="10" s="1"/>
  <c r="T24" i="10"/>
  <c r="V31" i="10" l="1"/>
  <c r="U23" i="10"/>
  <c r="U24" i="10" s="1"/>
  <c r="V32" i="10" l="1"/>
  <c r="W30" i="10" s="1"/>
  <c r="W31" i="10" l="1"/>
  <c r="V23" i="10"/>
  <c r="V24" i="10" s="1"/>
  <c r="W32" i="10" l="1"/>
  <c r="W23" i="10" l="1"/>
  <c r="W24" i="10" s="1"/>
  <c r="X25" i="10" s="1"/>
  <c r="Y20" i="10" l="1"/>
  <c r="Y21" i="10"/>
  <c r="B34" i="2"/>
  <c r="S28" i="2"/>
  <c r="S23" i="2"/>
  <c r="R20" i="2"/>
  <c r="P20" i="2"/>
  <c r="N20" i="2"/>
  <c r="Q16" i="2"/>
  <c r="O16" i="2"/>
  <c r="M16" i="2"/>
  <c r="Z14" i="2"/>
  <c r="Z16" i="2" s="1"/>
  <c r="R14" i="2"/>
  <c r="R16" i="2" s="1"/>
  <c r="Q14" i="2"/>
  <c r="R24" i="2" s="1"/>
  <c r="P14" i="2"/>
  <c r="P16" i="2" s="1"/>
  <c r="O14" i="2"/>
  <c r="P24" i="2" s="1"/>
  <c r="N14" i="2"/>
  <c r="O20" i="2" s="1"/>
  <c r="M14" i="2"/>
  <c r="N24" i="2" s="1"/>
  <c r="L14" i="2"/>
  <c r="L16" i="2" s="1"/>
  <c r="S12" i="2"/>
  <c r="Q12" i="2"/>
  <c r="O12" i="2"/>
  <c r="T10" i="2"/>
  <c r="T12" i="2" s="1"/>
  <c r="S10" i="2"/>
  <c r="R10" i="2"/>
  <c r="R12" i="2" s="1"/>
  <c r="Q10" i="2"/>
  <c r="P10" i="2"/>
  <c r="P12" i="2" s="1"/>
  <c r="O10" i="2"/>
  <c r="N10" i="2"/>
  <c r="N12" i="2" s="1"/>
  <c r="M10" i="2"/>
  <c r="L10" i="2"/>
  <c r="K10" i="2"/>
  <c r="J10" i="2"/>
  <c r="I10" i="2"/>
  <c r="H10" i="2"/>
  <c r="G10" i="2"/>
  <c r="F10" i="2"/>
  <c r="E10" i="2"/>
  <c r="D10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D6" i="2"/>
  <c r="V6" i="2" s="1"/>
  <c r="U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F4" i="2"/>
  <c r="G4" i="2" s="1"/>
  <c r="H4" i="2" s="1"/>
  <c r="I4" i="2" s="1"/>
  <c r="J4" i="2" s="1"/>
  <c r="K4" i="2" s="1"/>
  <c r="L4" i="2" s="1"/>
  <c r="M4" i="2" s="1"/>
  <c r="N4" i="2" s="1"/>
  <c r="E4" i="2"/>
  <c r="T2" i="2"/>
  <c r="S14" i="2" s="1"/>
  <c r="S16" i="2" s="1"/>
  <c r="Y22" i="10" l="1"/>
  <c r="O4" i="2"/>
  <c r="P4" i="2" s="1"/>
  <c r="Q24" i="2"/>
  <c r="N16" i="2"/>
  <c r="Q20" i="2"/>
  <c r="S20" i="2" s="1"/>
  <c r="O24" i="2"/>
  <c r="S24" i="2" s="1"/>
  <c r="U2" i="2"/>
  <c r="T6" i="2"/>
  <c r="P9" i="2" l="1"/>
  <c r="Q9" i="2" s="1"/>
  <c r="R9" i="2" s="1"/>
  <c r="Q4" i="2"/>
  <c r="R4" i="2" s="1"/>
  <c r="S4" i="2" s="1"/>
  <c r="U10" i="2"/>
  <c r="U12" i="2" s="1"/>
  <c r="U7" i="2"/>
  <c r="T14" i="2"/>
  <c r="T16" i="2" s="1"/>
  <c r="V2" i="2"/>
  <c r="V10" i="2" l="1"/>
  <c r="V12" i="2" s="1"/>
  <c r="V7" i="2"/>
  <c r="U14" i="2"/>
  <c r="U16" i="2" s="1"/>
  <c r="W2" i="2"/>
  <c r="S9" i="2"/>
  <c r="T9" i="2" s="1"/>
  <c r="U9" i="2" s="1"/>
  <c r="V9" i="2" s="1"/>
  <c r="W9" i="2" s="1"/>
  <c r="X9" i="2" s="1"/>
  <c r="T4" i="2"/>
  <c r="U4" i="2" l="1"/>
  <c r="V4" i="2" s="1"/>
  <c r="W4" i="2" s="1"/>
  <c r="X4" i="2" s="1"/>
  <c r="Y4" i="2" s="1"/>
  <c r="Z4" i="2" s="1"/>
  <c r="K32" i="2"/>
  <c r="K34" i="2" s="1"/>
  <c r="N32" i="2"/>
  <c r="N34" i="2" s="1"/>
  <c r="M32" i="2"/>
  <c r="M34" i="2" s="1"/>
  <c r="L32" i="2"/>
  <c r="L34" i="2" s="1"/>
  <c r="D37" i="2"/>
  <c r="G32" i="2"/>
  <c r="G34" i="2" s="1"/>
  <c r="J32" i="2"/>
  <c r="J34" i="2" s="1"/>
  <c r="I32" i="2"/>
  <c r="I34" i="2" s="1"/>
  <c r="H32" i="2"/>
  <c r="H34" i="2" s="1"/>
  <c r="T32" i="2"/>
  <c r="T34" i="2" s="1"/>
  <c r="P32" i="2"/>
  <c r="P34" i="2" s="1"/>
  <c r="S32" i="2"/>
  <c r="S34" i="2" s="1"/>
  <c r="F32" i="2"/>
  <c r="F34" i="2" s="1"/>
  <c r="E32" i="2"/>
  <c r="E34" i="2" s="1"/>
  <c r="D32" i="2"/>
  <c r="D34" i="2" s="1"/>
  <c r="O32" i="2"/>
  <c r="O34" i="2" s="1"/>
  <c r="R32" i="2"/>
  <c r="R34" i="2" s="1"/>
  <c r="Q32" i="2"/>
  <c r="Q34" i="2" s="1"/>
  <c r="U32" i="2"/>
  <c r="U34" i="2" s="1"/>
  <c r="W32" i="2"/>
  <c r="W34" i="2" s="1"/>
  <c r="W10" i="2"/>
  <c r="W12" i="2" s="1"/>
  <c r="W7" i="2"/>
  <c r="V14" i="2"/>
  <c r="V16" i="2" s="1"/>
  <c r="X2" i="2"/>
  <c r="V32" i="2"/>
  <c r="V34" i="2" s="1"/>
  <c r="J41" i="2" l="1"/>
  <c r="B18" i="10"/>
  <c r="W14" i="2"/>
  <c r="W16" i="2" s="1"/>
  <c r="Y2" i="2"/>
  <c r="X10" i="2"/>
  <c r="X12" i="2" s="1"/>
  <c r="X7" i="2"/>
  <c r="X32" i="2"/>
  <c r="X34" i="2" s="1"/>
  <c r="Z2" i="2" l="1"/>
  <c r="Y32" i="2"/>
  <c r="Y34" i="2" s="1"/>
  <c r="Y10" i="2"/>
  <c r="Y12" i="2" s="1"/>
  <c r="Y7" i="2"/>
  <c r="X14" i="2"/>
  <c r="X16" i="2" s="1"/>
  <c r="Z32" i="2" l="1"/>
  <c r="Z34" i="2" s="1"/>
  <c r="Z10" i="2"/>
  <c r="Z12" i="2" s="1"/>
  <c r="Z7" i="2"/>
  <c r="Y14" i="2"/>
  <c r="Y16" i="2" s="1"/>
</calcChain>
</file>

<file path=xl/comments1.xml><?xml version="1.0" encoding="utf-8"?>
<comments xmlns="http://schemas.openxmlformats.org/spreadsheetml/2006/main">
  <authors>
    <author>Schille, Andrew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Per 30 Nov 98 AA see AEMC website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Per 30 Nov 98 AA see AEMC website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asset class 3070 and 3100 - based on ODRC value of $741M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Per 30 Nov 98 AA see AEMC website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Schille, Andrew:</t>
        </r>
        <r>
          <rPr>
            <sz val="9"/>
            <color indexed="81"/>
            <rFont val="Tahoma"/>
            <family val="2"/>
          </rPr>
          <t xml:space="preserve">
applied 10% conservative factor</t>
        </r>
      </text>
    </comment>
  </commentList>
</comments>
</file>

<file path=xl/sharedStrings.xml><?xml version="1.0" encoding="utf-8"?>
<sst xmlns="http://schemas.openxmlformats.org/spreadsheetml/2006/main" count="66" uniqueCount="52">
  <si>
    <t>Mains Retirements</t>
  </si>
  <si>
    <t>Life Remaining</t>
  </si>
  <si>
    <t>Length (m)</t>
  </si>
  <si>
    <t>Calculation to determine RAB @ 2018</t>
  </si>
  <si>
    <t xml:space="preserve">Depreciation </t>
  </si>
  <si>
    <t>Opening RAB</t>
  </si>
  <si>
    <t>Closing RAB</t>
  </si>
  <si>
    <t>CPI Index</t>
  </si>
  <si>
    <t>ABS Sept-15</t>
  </si>
  <si>
    <t>ABS Sept-14</t>
  </si>
  <si>
    <t>Annual CPI % Change</t>
  </si>
  <si>
    <t>Nominal to Real 2012</t>
  </si>
  <si>
    <t>Real 2012 to nominal</t>
  </si>
  <si>
    <t>Real 2006 to Nominal</t>
  </si>
  <si>
    <t>Nominal to Real 2006</t>
  </si>
  <si>
    <t>Simone Real</t>
  </si>
  <si>
    <t>Nominal</t>
  </si>
  <si>
    <t>Stephanie Real</t>
  </si>
  <si>
    <t>Real year</t>
  </si>
  <si>
    <t>Nominal to Real</t>
  </si>
  <si>
    <t>Real to Nominal</t>
  </si>
  <si>
    <t>1st Year</t>
  </si>
  <si>
    <t>2nd Year</t>
  </si>
  <si>
    <t xml:space="preserve">Real to Real </t>
  </si>
  <si>
    <t>Total LP Mains</t>
  </si>
  <si>
    <t>Acquisition Cost LP Mains ($)</t>
  </si>
  <si>
    <t>Services</t>
  </si>
  <si>
    <t>Pipeworks Writeoff (Mains)</t>
  </si>
  <si>
    <t>Pipeworks Writeoff (Services)</t>
  </si>
  <si>
    <t>Convert Real 2012 to Real 1999</t>
  </si>
  <si>
    <t>Convert Real 1999 to Real 2017</t>
  </si>
  <si>
    <t>Convert Real 2006 to Real 1999</t>
  </si>
  <si>
    <t>Remaining</t>
  </si>
  <si>
    <t>Period Write off</t>
  </si>
  <si>
    <t>Mains</t>
  </si>
  <si>
    <t>PABV value 31 March 1999</t>
  </si>
  <si>
    <t>WDV per service</t>
  </si>
  <si>
    <t>Services attached to Lp mains as at 1999</t>
  </si>
  <si>
    <t>No. of Services</t>
  </si>
  <si>
    <t>WDV value per service</t>
  </si>
  <si>
    <t>First reg period - real 1999</t>
  </si>
  <si>
    <t>Convert 99 to 12</t>
  </si>
  <si>
    <t>Second reg period - convert to real 2012 per AER FD</t>
  </si>
  <si>
    <t>Third reg period - real 12 per AER FD</t>
  </si>
  <si>
    <t>($Real 2012) - per AER RFM FD 2013 to 1017 decision</t>
  </si>
  <si>
    <t>Convert 12 to 17</t>
  </si>
  <si>
    <t>Fourth reg period - real 2012</t>
  </si>
  <si>
    <t>Opening value for PTRM for WDV of LP Mains</t>
  </si>
  <si>
    <t>Real 2017 (from real12)</t>
  </si>
  <si>
    <t>Opening Value</t>
  </si>
  <si>
    <t>Additonal this period</t>
  </si>
  <si>
    <t>Write off 18 to 22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</si>
</sst>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0.0000"/>
    <numFmt numFmtId="166" formatCode="_-* #,##0.000_-;\-* #,##0.000_-;_-* &quot;-&quot;??_-;_-@_-"/>
    <numFmt numFmtId="167" formatCode="_-* #,##0.0_-;[Red]* \(#,##0.0\)_-;_-* &quot;-&quot;??_-;_-@_-"/>
    <numFmt numFmtId="168" formatCode="_-* #,##0.00000_-;\-* #,##0.00000_-;_-* &quot;-&quot;??_-;_-@_-"/>
    <numFmt numFmtId="169" formatCode="0.000000000000%"/>
    <numFmt numFmtId="170" formatCode="_(* #,##0.0_);_(* \(#,##0.0\);_(* &quot;-&quot;??_);_(@_)"/>
    <numFmt numFmtId="171" formatCode="_(* #,##0.00_);_(* \(#,##0.00\);_(* &quot;-&quot;??_);_(@_)"/>
    <numFmt numFmtId="172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15" fontId="0" fillId="0" borderId="0" xfId="0" applyNumberFormat="1"/>
    <xf numFmtId="0" fontId="2" fillId="0" borderId="0" xfId="0" applyFont="1" applyAlignment="1">
      <alignment horizontal="right" wrapText="1"/>
    </xf>
    <xf numFmtId="44" fontId="0" fillId="0" borderId="0" xfId="1" applyFont="1"/>
    <xf numFmtId="2" fontId="0" fillId="0" borderId="0" xfId="0" applyNumberFormat="1"/>
    <xf numFmtId="44" fontId="0" fillId="0" borderId="0" xfId="0" applyNumberFormat="1"/>
    <xf numFmtId="0" fontId="4" fillId="0" borderId="0" xfId="4"/>
    <xf numFmtId="17" fontId="4" fillId="0" borderId="0" xfId="4" applyNumberFormat="1" applyAlignment="1">
      <alignment horizontal="center" vertical="center"/>
    </xf>
    <xf numFmtId="0" fontId="5" fillId="0" borderId="0" xfId="4" applyFont="1"/>
    <xf numFmtId="0" fontId="4" fillId="0" borderId="0" xfId="4" applyAlignment="1">
      <alignment horizontal="center" vertical="center"/>
    </xf>
    <xf numFmtId="2" fontId="4" fillId="0" borderId="0" xfId="4" applyNumberFormat="1" applyAlignment="1">
      <alignment horizontal="center" vertical="center"/>
    </xf>
    <xf numFmtId="0" fontId="6" fillId="0" borderId="0" xfId="4" applyFont="1"/>
    <xf numFmtId="0" fontId="6" fillId="0" borderId="0" xfId="4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2" borderId="0" xfId="3" applyNumberFormat="1" applyFont="1" applyFill="1" applyAlignment="1">
      <alignment horizontal="center" vertical="center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5" fontId="4" fillId="0" borderId="0" xfId="4" applyNumberFormat="1" applyAlignment="1">
      <alignment horizontal="center" vertical="center"/>
    </xf>
    <xf numFmtId="165" fontId="4" fillId="3" borderId="0" xfId="4" applyNumberFormat="1" applyFill="1" applyAlignment="1">
      <alignment horizontal="center" vertical="center"/>
    </xf>
    <xf numFmtId="166" fontId="4" fillId="4" borderId="0" xfId="2" applyNumberFormat="1" applyFont="1" applyFill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6" fontId="4" fillId="4" borderId="0" xfId="2" applyNumberFormat="1" applyFont="1" applyFill="1"/>
    <xf numFmtId="166" fontId="4" fillId="0" borderId="0" xfId="2" applyNumberFormat="1" applyFont="1"/>
    <xf numFmtId="166" fontId="4" fillId="3" borderId="0" xfId="2" applyNumberFormat="1" applyFont="1" applyFill="1"/>
    <xf numFmtId="0" fontId="4" fillId="5" borderId="0" xfId="4" applyFill="1"/>
    <xf numFmtId="164" fontId="6" fillId="5" borderId="1" xfId="5" applyNumberFormat="1" applyFont="1" applyFill="1" applyBorder="1"/>
    <xf numFmtId="164" fontId="3" fillId="5" borderId="0" xfId="0" applyNumberFormat="1" applyFont="1" applyFill="1"/>
    <xf numFmtId="43" fontId="4" fillId="5" borderId="0" xfId="4" applyNumberFormat="1" applyFill="1"/>
    <xf numFmtId="167" fontId="6" fillId="0" borderId="1" xfId="6" applyNumberFormat="1" applyFont="1" applyBorder="1"/>
    <xf numFmtId="167" fontId="6" fillId="0" borderId="0" xfId="4" applyNumberFormat="1" applyFont="1"/>
    <xf numFmtId="43" fontId="4" fillId="0" borderId="0" xfId="4" applyNumberFormat="1"/>
    <xf numFmtId="2" fontId="4" fillId="0" borderId="0" xfId="4" applyNumberFormat="1" applyAlignment="1">
      <alignment horizontal="right"/>
    </xf>
    <xf numFmtId="44" fontId="0" fillId="6" borderId="2" xfId="1" applyFont="1" applyFill="1" applyBorder="1"/>
    <xf numFmtId="44" fontId="0" fillId="6" borderId="3" xfId="1" applyFont="1" applyFill="1" applyBorder="1"/>
    <xf numFmtId="44" fontId="0" fillId="5" borderId="3" xfId="1" applyFont="1" applyFill="1" applyBorder="1"/>
    <xf numFmtId="44" fontId="4" fillId="0" borderId="0" xfId="4" applyNumberFormat="1"/>
    <xf numFmtId="0" fontId="7" fillId="7" borderId="0" xfId="4" applyFont="1" applyFill="1"/>
    <xf numFmtId="43" fontId="4" fillId="0" borderId="0" xfId="2" applyFont="1"/>
    <xf numFmtId="0" fontId="4" fillId="0" borderId="0" xfId="4" applyFont="1" applyFill="1"/>
    <xf numFmtId="168" fontId="4" fillId="0" borderId="0" xfId="2" applyNumberFormat="1" applyFont="1"/>
    <xf numFmtId="169" fontId="4" fillId="0" borderId="0" xfId="4" applyNumberFormat="1"/>
    <xf numFmtId="170" fontId="4" fillId="0" borderId="0" xfId="4" applyNumberFormat="1"/>
    <xf numFmtId="43" fontId="0" fillId="0" borderId="0" xfId="0" applyNumberFormat="1"/>
    <xf numFmtId="1" fontId="0" fillId="0" borderId="0" xfId="0" applyNumberFormat="1"/>
    <xf numFmtId="43" fontId="0" fillId="0" borderId="0" xfId="2" applyFont="1"/>
    <xf numFmtId="0" fontId="10" fillId="0" borderId="0" xfId="0" applyFont="1"/>
    <xf numFmtId="171" fontId="11" fillId="4" borderId="0" xfId="0" applyNumberFormat="1" applyFont="1" applyFill="1"/>
    <xf numFmtId="171" fontId="11" fillId="4" borderId="4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/>
    </xf>
    <xf numFmtId="172" fontId="0" fillId="0" borderId="0" xfId="2" applyNumberFormat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4" xfId="0" applyBorder="1"/>
    <xf numFmtId="44" fontId="0" fillId="0" borderId="0" xfId="0" applyNumberFormat="1" applyBorder="1"/>
    <xf numFmtId="44" fontId="0" fillId="0" borderId="4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4" fontId="0" fillId="2" borderId="8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44" fontId="0" fillId="2" borderId="12" xfId="0" applyNumberFormat="1" applyFill="1" applyBorder="1"/>
    <xf numFmtId="44" fontId="3" fillId="0" borderId="0" xfId="0" applyNumberFormat="1" applyFont="1"/>
  </cellXfs>
  <cellStyles count="7">
    <cellStyle name="Comma" xfId="2" builtinId="3"/>
    <cellStyle name="Comma 2 3" xfId="5"/>
    <cellStyle name="Currency" xfId="1" builtinId="4"/>
    <cellStyle name="Normal" xfId="0" builtinId="0"/>
    <cellStyle name="Normal 13 2 2" xfId="4"/>
    <cellStyle name="Normal 3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-%20Finance\Business%20Planning%20and%20Budgeting\2011-12%20-%202015-16\Budget%20Model\PIES%20Budget%20Model%20MASTER%20v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ion\02.%20UED\02.23.%202016%20EDPR\02.23.08%20Expenditure%20&amp;%20Regulatory%20Models\02.23.08.02%20PTRM\02.23.08.02.01%20EDPR%202016%20Analysis\1.%20Version%2002%20May%202014\UE%20FY15-1MA%20v03\UE%20FY15-1MA%20v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Assumptions_SC"/>
      <sheetName val="GenAssum_BA"/>
      <sheetName val="AllocAssum_BA"/>
      <sheetName val="Escalation_TA"/>
      <sheetName val="CostCentre_BA"/>
      <sheetName val="FTEAssum_TA"/>
      <sheetName val="FTEAssumSalOnly_TA"/>
      <sheetName val="REG Comparison"/>
      <sheetName val="CEO Comparison"/>
      <sheetName val="COM Comparison"/>
      <sheetName val="HR Comparison"/>
      <sheetName val="IT Comparison"/>
      <sheetName val="SD Comparison"/>
      <sheetName val="AM Comparison"/>
      <sheetName val="CMM Comparison"/>
      <sheetName val="Finance-Admin Comparison"/>
      <sheetName val="CompareFY11view_TA"/>
      <sheetName val="Summary Comparison"/>
      <sheetName val="ResourceCompareFY12"/>
      <sheetName val="OpexSharedAssum_TA"/>
      <sheetName val="OpexUEDAssum_TA"/>
      <sheetName val="OpexMGHAssum_TA"/>
      <sheetName val="CapexUED_TA"/>
      <sheetName val="CapexMGH"/>
      <sheetName val="Rev&amp;Dep UED"/>
      <sheetName val="Rev&amp;Dep MGH"/>
      <sheetName val="Op Bal Sheet UED"/>
      <sheetName val="Op Bal Sheet MGH"/>
      <sheetName val="Debt UED"/>
      <sheetName val="Debt MGH"/>
      <sheetName val="Outputs_SC"/>
      <sheetName val="FTE_Summary_TO"/>
      <sheetName val="UED P&amp;L-Cal Yr"/>
      <sheetName val="UED P&amp;L-Fin Yr"/>
      <sheetName val="UED P&amp;L-Qtr"/>
      <sheetName val="UED P&amp;L-Month"/>
      <sheetName val="UED Capex-Cal Yr"/>
      <sheetName val="UED Capex-Fin Yr"/>
      <sheetName val="UED Capex-Qtr"/>
      <sheetName val="UED Capex-Month"/>
      <sheetName val="UED Cash Flow-Month"/>
      <sheetName val="UED Balance Sheet-Month"/>
      <sheetName val="MGH P&amp;L-Cal Yr"/>
      <sheetName val="MGH P&amp;L-Fin Yr"/>
      <sheetName val="MGH P&amp;L-Qtr"/>
      <sheetName val="MGH P&amp;L-Month"/>
      <sheetName val="MGH Capex-Cal Yr"/>
      <sheetName val="MGH Capex-Fin Yr"/>
      <sheetName val="MGH Capex-Qtr"/>
      <sheetName val="MGH Capex-Month"/>
      <sheetName val="MGH Cash Flow-Month"/>
      <sheetName val="MGH Balance Sheet-Month"/>
      <sheetName val="UED Debt"/>
      <sheetName val="UED Sum by Function"/>
      <sheetName val="UED Sum by Account"/>
      <sheetName val="MGH Debt"/>
      <sheetName val="MGH Sum by Function"/>
      <sheetName val="MGH Sum by Account"/>
      <sheetName val="AD Report"/>
      <sheetName val="CEM Report"/>
      <sheetName val="CEO Report"/>
      <sheetName val="CMM Report"/>
      <sheetName val="COM Report"/>
      <sheetName val="FIN Report"/>
      <sheetName val="HR Report"/>
      <sheetName val="IT Report"/>
      <sheetName val="NIT Report"/>
      <sheetName val="OHS Report"/>
      <sheetName val="REG Report"/>
      <sheetName val="RISK Report"/>
      <sheetName val="SDN Report"/>
      <sheetName val="SDS Report"/>
      <sheetName val="UED-AAA Report"/>
      <sheetName val="UED-BBB Report"/>
      <sheetName val="UED-CCC Report"/>
      <sheetName val="UED-DDD Report"/>
      <sheetName val="MGH-AAA Report"/>
      <sheetName val="MGH-BBB Report"/>
      <sheetName val="MGH-CCC Report"/>
      <sheetName val="MGH-DDD Report"/>
      <sheetName val="Appendices_SC"/>
      <sheetName val="Lookup_Tables_SSC"/>
      <sheetName val="TS_LU"/>
      <sheetName val="Checks_SSC"/>
      <sheetName val="Checks_BO"/>
      <sheetName val="1. Control"/>
      <sheetName val="BB rec with EDPR"/>
      <sheetName val="Instructions (To B Updated)"/>
      <sheetName val="Valuation"/>
      <sheetName val="FD Summary"/>
      <sheetName val="Annual Summary"/>
      <sheetName val="KEY METRICS"/>
      <sheetName val="LTerm Charts"/>
      <sheetName val="2. Menu"/>
      <sheetName val="4. Checks"/>
      <sheetName val="5. Assum"/>
      <sheetName val="5.05 SCENARIOS"/>
      <sheetName val="5.1 Meter Assum"/>
      <sheetName val="6. Reg Ass"/>
      <sheetName val="6.2 Rates"/>
      <sheetName val="7. Impairment"/>
      <sheetName val="8. Hist P&amp;L"/>
      <sheetName val="9. Hist BS"/>
      <sheetName val="10. Hist Capex"/>
      <sheetName val="13. Distr Cash"/>
      <sheetName val="14. Meters"/>
      <sheetName val="14.2 Meter Reg Rev"/>
      <sheetName val="14.1 Meter RAB"/>
      <sheetName val="15. Debt"/>
      <sheetName val="16. Reg Rev"/>
      <sheetName val="17. Reg Dep&amp;Tax"/>
      <sheetName val="18. Tax"/>
      <sheetName val="19. Depn"/>
      <sheetName val="20. Def Debt Costs"/>
      <sheetName val="21. Reg Depr"/>
      <sheetName val="22. Reg Tax Dep"/>
      <sheetName val="23. Exc Servs"/>
      <sheetName val="24. Ann CAPEX"/>
      <sheetName val="25. Qtr CAPEX"/>
      <sheetName val="26. CAPEX Real"/>
      <sheetName val="27. Capex Inp Nom"/>
      <sheetName val="27.1 Capex Scenarios"/>
      <sheetName val="Sensitivity"/>
      <sheetName val="CY Capex"/>
      <sheetName val="FY Capex"/>
      <sheetName val="29. CAL PL"/>
      <sheetName val="30. FY PL"/>
      <sheetName val="31. HY PL"/>
      <sheetName val="32. Qtr PL"/>
      <sheetName val="34. FY BS"/>
      <sheetName val="35. HY BS"/>
      <sheetName val="36. Qtr BS"/>
      <sheetName val="37. Ratios Yr"/>
      <sheetName val="38. Ratios Qtr"/>
      <sheetName val="38. Board"/>
      <sheetName val="DUOs CAPEX"/>
      <sheetName val="AMI Capex"/>
      <sheetName val="Total Capex"/>
      <sheetName val="DUOs RAB"/>
      <sheetName val="AMI RAB"/>
      <sheetName val="Total RAB"/>
      <sheetName val="DUOs Reg Depreciation"/>
      <sheetName val="AMI Reg Depreciation"/>
      <sheetName val="Total Reg Depreciation"/>
      <sheetName val="RAB"/>
      <sheetName val="DEBT"/>
      <sheetName val="Heads Of Agreement Scenario"/>
      <sheetName val="DUET Interface"/>
    </sheetNames>
    <sheetDataSet>
      <sheetData sheetId="0">
        <row r="1">
          <cell r="B1" t="str">
            <v>Cost Centre Report by Month NIT ($'000,Nominal)</v>
          </cell>
        </row>
      </sheetData>
      <sheetData sheetId="1"/>
      <sheetData sheetId="2" refreshError="1"/>
      <sheetData sheetId="3">
        <row r="1">
          <cell r="B1" t="str">
            <v>Cost Centre Report by Month SDS ($'000,Nominal)</v>
          </cell>
        </row>
      </sheetData>
      <sheetData sheetId="4">
        <row r="1">
          <cell r="B1" t="str">
            <v>Allocation Assumptions</v>
          </cell>
        </row>
        <row r="37">
          <cell r="F37">
            <v>0</v>
          </cell>
        </row>
        <row r="65">
          <cell r="F65">
            <v>0</v>
          </cell>
        </row>
        <row r="93">
          <cell r="F93">
            <v>0</v>
          </cell>
        </row>
        <row r="122">
          <cell r="F122">
            <v>0</v>
          </cell>
        </row>
      </sheetData>
      <sheetData sheetId="5" refreshError="1"/>
      <sheetData sheetId="6">
        <row r="1">
          <cell r="B1" t="str">
            <v>Cost Centre Report by Month SDN ($'000,Nominal)</v>
          </cell>
        </row>
      </sheetData>
      <sheetData sheetId="7">
        <row r="1">
          <cell r="B1" t="str">
            <v>Personnel Expenses Assumptions ($,Nominal)</v>
          </cell>
        </row>
        <row r="224">
          <cell r="G224">
            <v>0</v>
          </cell>
          <cell r="K224">
            <v>0</v>
          </cell>
        </row>
        <row r="434">
          <cell r="G434">
            <v>0</v>
          </cell>
        </row>
        <row r="644">
          <cell r="G644">
            <v>0</v>
          </cell>
        </row>
        <row r="854">
          <cell r="G854">
            <v>0</v>
          </cell>
        </row>
        <row r="1064">
          <cell r="G1064">
            <v>0</v>
          </cell>
        </row>
        <row r="1274">
          <cell r="G127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1000Consulting</v>
          </cell>
        </row>
      </sheetData>
      <sheetData sheetId="22">
        <row r="19">
          <cell r="A19" t="str">
            <v>1000Test5</v>
          </cell>
        </row>
      </sheetData>
      <sheetData sheetId="23">
        <row r="19">
          <cell r="A19" t="str">
            <v>1000Test5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B1" t="str">
            <v>Resources Costs Summary by Financial Year ($'000,Nominal)</v>
          </cell>
        </row>
        <row r="123">
          <cell r="I123">
            <v>0</v>
          </cell>
        </row>
      </sheetData>
      <sheetData sheetId="34"/>
      <sheetData sheetId="35"/>
      <sheetData sheetId="36"/>
      <sheetData sheetId="37"/>
      <sheetData sheetId="38">
        <row r="1">
          <cell r="B1" t="str">
            <v>UED - Capex by Calendar Year ($'000,Nominal)</v>
          </cell>
        </row>
        <row r="87">
          <cell r="F87">
            <v>0</v>
          </cell>
        </row>
      </sheetData>
      <sheetData sheetId="39">
        <row r="1">
          <cell r="B1" t="str">
            <v>UED - Capex by Financial Year ($'000,Nominal)</v>
          </cell>
        </row>
        <row r="87">
          <cell r="F87">
            <v>0</v>
          </cell>
        </row>
      </sheetData>
      <sheetData sheetId="40">
        <row r="1">
          <cell r="B1" t="str">
            <v>UED - Capex by Quarter ($'000,Nominal)</v>
          </cell>
        </row>
        <row r="87">
          <cell r="F87">
            <v>0</v>
          </cell>
        </row>
      </sheetData>
      <sheetData sheetId="41">
        <row r="1">
          <cell r="B1" t="str">
            <v>UED - Capex by Month ($'000,Nominal)</v>
          </cell>
        </row>
        <row r="96">
          <cell r="F96">
            <v>0</v>
          </cell>
        </row>
      </sheetData>
      <sheetData sheetId="42"/>
      <sheetData sheetId="43">
        <row r="1">
          <cell r="B1" t="str">
            <v>UED - Balance Sheet by Month ($'000,Nominal)</v>
          </cell>
        </row>
        <row r="90">
          <cell r="F90">
            <v>0</v>
          </cell>
        </row>
      </sheetData>
      <sheetData sheetId="44"/>
      <sheetData sheetId="45"/>
      <sheetData sheetId="46"/>
      <sheetData sheetId="47"/>
      <sheetData sheetId="48">
        <row r="1">
          <cell r="B1" t="str">
            <v>MGH - Capex by Calendar Year ($'000,Nominal)</v>
          </cell>
        </row>
        <row r="69">
          <cell r="F69">
            <v>0</v>
          </cell>
        </row>
      </sheetData>
      <sheetData sheetId="49">
        <row r="1">
          <cell r="B1" t="str">
            <v>MGH - Capex by Financial Year ($'000,Nominal)</v>
          </cell>
        </row>
        <row r="69">
          <cell r="F69">
            <v>0</v>
          </cell>
        </row>
      </sheetData>
      <sheetData sheetId="50">
        <row r="1">
          <cell r="B1" t="str">
            <v>MGH - Capex by Quarter ($'000,Nominal)</v>
          </cell>
        </row>
        <row r="69">
          <cell r="F69">
            <v>0</v>
          </cell>
        </row>
      </sheetData>
      <sheetData sheetId="51">
        <row r="1">
          <cell r="B1" t="str">
            <v>MGH - Capex by Month ($'000,Nominal)</v>
          </cell>
        </row>
        <row r="78">
          <cell r="F78">
            <v>0</v>
          </cell>
        </row>
      </sheetData>
      <sheetData sheetId="52"/>
      <sheetData sheetId="53">
        <row r="1">
          <cell r="B1" t="str">
            <v>MGH - Balance Sheet by Month ($'000,Nominal)</v>
          </cell>
        </row>
        <row r="70">
          <cell r="F70">
            <v>0</v>
          </cell>
        </row>
      </sheetData>
      <sheetData sheetId="54">
        <row r="1">
          <cell r="B1" t="str">
            <v>Allocation Assumptions</v>
          </cell>
        </row>
      </sheetData>
      <sheetData sheetId="55">
        <row r="1">
          <cell r="B1" t="str">
            <v>UED - Dept Summary by Month ($'000,Nominal) NOT IN USE</v>
          </cell>
        </row>
        <row r="170">
          <cell r="F170">
            <v>0</v>
          </cell>
        </row>
        <row r="171">
          <cell r="F171">
            <v>1</v>
          </cell>
        </row>
      </sheetData>
      <sheetData sheetId="56">
        <row r="1">
          <cell r="B1" t="str">
            <v>UED - Account Summary by Month ($'000,Nominal)</v>
          </cell>
        </row>
        <row r="155">
          <cell r="F155">
            <v>0</v>
          </cell>
        </row>
      </sheetData>
      <sheetData sheetId="57"/>
      <sheetData sheetId="58">
        <row r="1">
          <cell r="B1" t="str">
            <v>MGH - Dept Summary by Month ($'000,Nominal) NOT IN USE</v>
          </cell>
        </row>
        <row r="166">
          <cell r="F166">
            <v>0</v>
          </cell>
        </row>
        <row r="167">
          <cell r="F167">
            <v>1</v>
          </cell>
        </row>
      </sheetData>
      <sheetData sheetId="59">
        <row r="1">
          <cell r="B1" t="str">
            <v>MGH - Account Summary by Month</v>
          </cell>
        </row>
        <row r="154">
          <cell r="F154">
            <v>0</v>
          </cell>
        </row>
      </sheetData>
      <sheetData sheetId="60">
        <row r="1">
          <cell r="B1" t="str">
            <v>Cost Centre 1000 - Report by Month ($'000,Nominal)</v>
          </cell>
        </row>
        <row r="420">
          <cell r="P420">
            <v>0</v>
          </cell>
        </row>
      </sheetData>
      <sheetData sheetId="61">
        <row r="1">
          <cell r="B1" t="str">
            <v>Cost Centre Report by Month CEM ($'000,Nominal)</v>
          </cell>
        </row>
      </sheetData>
      <sheetData sheetId="62">
        <row r="1">
          <cell r="B1" t="str">
            <v>Cost Centre Report by Month CEO ($'000,Nominal)</v>
          </cell>
        </row>
      </sheetData>
      <sheetData sheetId="63">
        <row r="1">
          <cell r="B1" t="str">
            <v>Cost Centre Report by Month CMM ($'000,Nominal)</v>
          </cell>
        </row>
      </sheetData>
      <sheetData sheetId="64">
        <row r="1">
          <cell r="B1" t="str">
            <v>Cost Centre Report by Month COM ($'000,Nominal)</v>
          </cell>
        </row>
      </sheetData>
      <sheetData sheetId="65">
        <row r="1">
          <cell r="B1" t="str">
            <v>Cost Centre Report by Month FIN ($'000,Nominal)</v>
          </cell>
        </row>
      </sheetData>
      <sheetData sheetId="66">
        <row r="1">
          <cell r="B1" t="str">
            <v>Cost Centre Report by Month HR ($'000,Nominal)</v>
          </cell>
        </row>
      </sheetData>
      <sheetData sheetId="67">
        <row r="1">
          <cell r="B1" t="str">
            <v>Cost Centre Report by Month IT ($'000,Nominal)</v>
          </cell>
        </row>
      </sheetData>
      <sheetData sheetId="68" refreshError="1">
        <row r="1">
          <cell r="B1" t="str">
            <v>Cost Centre Report by Month NIT ($'000,Nominal)</v>
          </cell>
        </row>
      </sheetData>
      <sheetData sheetId="69" refreshError="1">
        <row r="1">
          <cell r="B1" t="str">
            <v>Cost Centre Report by Month OHS ($'000,Nominal)</v>
          </cell>
        </row>
      </sheetData>
      <sheetData sheetId="70" refreshError="1">
        <row r="1">
          <cell r="B1" t="str">
            <v>Cost Centre Report by Month REG ($'000,Nominal)</v>
          </cell>
        </row>
      </sheetData>
      <sheetData sheetId="71" refreshError="1">
        <row r="1">
          <cell r="B1" t="str">
            <v>Cost Centre Report by Month RISK ($'000,Nominal)</v>
          </cell>
        </row>
      </sheetData>
      <sheetData sheetId="72" refreshError="1">
        <row r="1">
          <cell r="B1" t="str">
            <v>Cost Centre Report by Month SDN ($'000,Nominal)</v>
          </cell>
        </row>
      </sheetData>
      <sheetData sheetId="73" refreshError="1">
        <row r="1">
          <cell r="B1" t="str">
            <v>Cost Centre Report by Month SDS ($'000,Nominal)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1">
          <cell r="B1" t="str">
            <v>MGH - Dept Summary by Month ($'000,Nominal) NOT IN USE</v>
          </cell>
        </row>
        <row r="7">
          <cell r="B7" t="str">
            <v>Error Checks</v>
          </cell>
        </row>
        <row r="66">
          <cell r="B66" t="str">
            <v>Sensitivity Checks</v>
          </cell>
        </row>
        <row r="82">
          <cell r="B82" t="str">
            <v>Alert Checks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Log"/>
      <sheetName val="Changes"/>
      <sheetName val="Qtrly Analyst Tool"/>
      <sheetName val="Annual Mgmt Tool"/>
      <sheetName val="DUET (Current)"/>
      <sheetName val="DUET (Prev)"/>
      <sheetName val="Metrics"/>
      <sheetName val="Board"/>
      <sheetName val="Board (2)"/>
      <sheetName val="AFS"/>
      <sheetName val="MFYFS"/>
      <sheetName val="FYFS"/>
      <sheetName val="TR"/>
      <sheetName val="IFS"/>
      <sheetName val="Inputs_Gen"/>
      <sheetName val="Inputs_Reg"/>
      <sheetName val="Inputs_AMI"/>
      <sheetName val="Scenarios"/>
      <sheetName val="CapEx_Scenarios"/>
      <sheetName val="Actuals"/>
      <sheetName val="Actuals_Mgt"/>
      <sheetName val="Impair_Test"/>
      <sheetName val="Non-Reg"/>
      <sheetName val="Funding"/>
      <sheetName val="Dep_Acc"/>
      <sheetName val="Dep_Tax"/>
      <sheetName val="AMI"/>
      <sheetName val="Reg"/>
      <sheetName val="Dep_Reg"/>
      <sheetName val="Dep_AMI"/>
      <sheetName val="Dep_ACS"/>
      <sheetName val="Dep(Tax)_Reg"/>
      <sheetName val="Timing"/>
      <sheetName val="ROD"/>
      <sheetName val="Kd&amp;he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88">
          <cell r="H888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33"/>
  <sheetViews>
    <sheetView tabSelected="1" topLeftCell="H1" workbookViewId="0">
      <selection activeCell="X25" sqref="X25"/>
    </sheetView>
  </sheetViews>
  <sheetFormatPr defaultRowHeight="15" x14ac:dyDescent="0.25"/>
  <cols>
    <col min="1" max="1" width="44" bestFit="1" customWidth="1"/>
    <col min="2" max="2" width="28.140625" customWidth="1"/>
    <col min="3" max="3" width="22.7109375" customWidth="1"/>
    <col min="4" max="4" width="15.5703125" customWidth="1"/>
    <col min="5" max="5" width="14.28515625" bestFit="1" customWidth="1"/>
    <col min="8" max="8" width="25.7109375" bestFit="1" customWidth="1"/>
    <col min="9" max="9" width="15.28515625" bestFit="1" customWidth="1"/>
    <col min="11" max="11" width="9.140625" customWidth="1"/>
    <col min="22" max="22" width="11.5703125" bestFit="1" customWidth="1"/>
    <col min="23" max="23" width="15.42578125" bestFit="1" customWidth="1"/>
    <col min="27" max="27" width="9.5703125" bestFit="1" customWidth="1"/>
  </cols>
  <sheetData>
    <row r="2" spans="1:18" x14ac:dyDescent="0.25">
      <c r="B2" s="1">
        <v>36249</v>
      </c>
      <c r="C2" s="1"/>
    </row>
    <row r="3" spans="1:18" ht="15" customHeight="1" x14ac:dyDescent="0.25">
      <c r="A3" t="s">
        <v>0</v>
      </c>
      <c r="B3" s="2" t="s">
        <v>25</v>
      </c>
      <c r="C3" s="2" t="s">
        <v>2</v>
      </c>
      <c r="D3" s="2" t="s">
        <v>1</v>
      </c>
    </row>
    <row r="4" spans="1:18" x14ac:dyDescent="0.25">
      <c r="A4" t="s">
        <v>24</v>
      </c>
      <c r="B4" s="42">
        <v>95452391.879999965</v>
      </c>
      <c r="C4" s="4">
        <v>3473000</v>
      </c>
      <c r="D4">
        <v>37</v>
      </c>
    </row>
    <row r="5" spans="1:18" x14ac:dyDescent="0.25">
      <c r="B5" s="5"/>
      <c r="C5" s="4">
        <f>C4/1000</f>
        <v>3473</v>
      </c>
    </row>
    <row r="6" spans="1:18" x14ac:dyDescent="0.25">
      <c r="F6" s="5"/>
      <c r="I6" s="42"/>
    </row>
    <row r="7" spans="1:18" x14ac:dyDescent="0.25">
      <c r="A7" t="s">
        <v>39</v>
      </c>
      <c r="F7" s="5"/>
      <c r="H7" s="48" t="s">
        <v>44</v>
      </c>
    </row>
    <row r="8" spans="1:18" x14ac:dyDescent="0.25">
      <c r="A8" s="49" t="s">
        <v>35</v>
      </c>
      <c r="B8" s="50">
        <v>291082219</v>
      </c>
      <c r="F8" s="5"/>
      <c r="H8" s="45" t="s">
        <v>27</v>
      </c>
      <c r="I8" s="46">
        <v>2.4507569876852981</v>
      </c>
      <c r="J8" s="46">
        <v>2.867722068101922</v>
      </c>
      <c r="K8" s="46">
        <v>2.9174959198290544</v>
      </c>
      <c r="L8" s="46">
        <v>3.27112713327339</v>
      </c>
      <c r="M8" s="46">
        <v>3.1682099441188458</v>
      </c>
      <c r="N8" s="46">
        <v>4.2330993700531403</v>
      </c>
      <c r="O8" s="46">
        <v>4.0835887858946602</v>
      </c>
      <c r="P8" s="46">
        <v>4.0620552903780585</v>
      </c>
      <c r="Q8" s="46">
        <v>3.9311815345516217</v>
      </c>
      <c r="R8" s="47">
        <v>3.8285413525565835</v>
      </c>
    </row>
    <row r="9" spans="1:18" x14ac:dyDescent="0.25">
      <c r="A9" s="5" t="s">
        <v>38</v>
      </c>
      <c r="B9" s="50">
        <v>586703</v>
      </c>
      <c r="F9" s="5"/>
      <c r="H9" s="45" t="s">
        <v>28</v>
      </c>
      <c r="I9" s="46">
        <v>2.4779333516309543</v>
      </c>
      <c r="J9" s="46">
        <v>2.8948954476003146</v>
      </c>
      <c r="K9" s="46">
        <v>2.9446640428780277</v>
      </c>
      <c r="L9" s="46">
        <v>3.2982962921291015</v>
      </c>
      <c r="M9" s="46">
        <v>3.2982962921291015</v>
      </c>
      <c r="N9" s="46">
        <v>4.2550614152202932</v>
      </c>
      <c r="O9" s="46">
        <v>4.2550614152202932</v>
      </c>
      <c r="P9" s="46">
        <v>4.2550614152202932</v>
      </c>
      <c r="Q9" s="46">
        <v>4.2550614152202932</v>
      </c>
      <c r="R9" s="47">
        <v>4.2550614152202932</v>
      </c>
    </row>
    <row r="10" spans="1:18" x14ac:dyDescent="0.25">
      <c r="A10" s="5" t="s">
        <v>36</v>
      </c>
      <c r="B10" s="3">
        <f>B8/B9</f>
        <v>496.13214692953676</v>
      </c>
    </row>
    <row r="11" spans="1:18" ht="15" customHeight="1" x14ac:dyDescent="0.25">
      <c r="B11" s="2"/>
      <c r="C11" s="2"/>
      <c r="D11" s="2"/>
    </row>
    <row r="12" spans="1:18" x14ac:dyDescent="0.25">
      <c r="A12" t="s">
        <v>37</v>
      </c>
      <c r="B12" s="5">
        <f>C12*B10*0.9</f>
        <v>105451697.11272041</v>
      </c>
      <c r="C12" s="44">
        <f>C5*68</f>
        <v>236164</v>
      </c>
      <c r="D12">
        <f>D4</f>
        <v>37</v>
      </c>
      <c r="H12" s="45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x14ac:dyDescent="0.25">
      <c r="H13" s="45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25">
      <c r="B14" s="5"/>
      <c r="C14" s="43"/>
    </row>
    <row r="15" spans="1:18" x14ac:dyDescent="0.25"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t="s">
        <v>31</v>
      </c>
      <c r="B16" s="4">
        <f>'Economic Assumptions'!E7/'Economic Assumptions'!L7</f>
        <v>0.80974632843791716</v>
      </c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28" x14ac:dyDescent="0.25">
      <c r="A17" t="s">
        <v>29</v>
      </c>
      <c r="B17" s="4">
        <f>'Economic Assumptions'!E7/'Economic Assumptions'!R7</f>
        <v>0.67614269788182824</v>
      </c>
      <c r="I17" s="5"/>
      <c r="W17" t="s">
        <v>33</v>
      </c>
    </row>
    <row r="18" spans="1:28" x14ac:dyDescent="0.25">
      <c r="A18" t="s">
        <v>30</v>
      </c>
      <c r="B18" s="4">
        <f>'Economic Assumptions'!W7/'Economic Assumptions'!E7</f>
        <v>1.6212392674597198</v>
      </c>
      <c r="W18" t="s">
        <v>32</v>
      </c>
    </row>
    <row r="19" spans="1:28" x14ac:dyDescent="0.25">
      <c r="B19" s="4"/>
      <c r="D19" t="s">
        <v>40</v>
      </c>
      <c r="I19" t="s">
        <v>42</v>
      </c>
      <c r="N19" t="s">
        <v>43</v>
      </c>
      <c r="S19" t="s">
        <v>46</v>
      </c>
      <c r="AA19" s="4">
        <f>C5-540-557</f>
        <v>2376</v>
      </c>
      <c r="AB19" t="s">
        <v>49</v>
      </c>
    </row>
    <row r="20" spans="1:28" x14ac:dyDescent="0.25">
      <c r="A20" s="48" t="s">
        <v>34</v>
      </c>
      <c r="D20" s="51"/>
      <c r="E20" s="52">
        <f>D4</f>
        <v>37</v>
      </c>
      <c r="F20" s="52">
        <f>E20-1</f>
        <v>36</v>
      </c>
      <c r="G20" s="52">
        <f t="shared" ref="G20:W20" si="0">F20-1</f>
        <v>35</v>
      </c>
      <c r="H20" s="53">
        <f t="shared" si="0"/>
        <v>34</v>
      </c>
      <c r="I20" s="51">
        <v>38</v>
      </c>
      <c r="J20" s="52">
        <f t="shared" si="0"/>
        <v>37</v>
      </c>
      <c r="K20" s="52">
        <f t="shared" si="0"/>
        <v>36</v>
      </c>
      <c r="L20" s="52">
        <f t="shared" si="0"/>
        <v>35</v>
      </c>
      <c r="M20" s="53">
        <f t="shared" si="0"/>
        <v>34</v>
      </c>
      <c r="N20" s="51">
        <f t="shared" si="0"/>
        <v>33</v>
      </c>
      <c r="O20" s="52">
        <f t="shared" si="0"/>
        <v>32</v>
      </c>
      <c r="P20" s="52">
        <f t="shared" si="0"/>
        <v>31</v>
      </c>
      <c r="Q20" s="52">
        <f t="shared" si="0"/>
        <v>30</v>
      </c>
      <c r="R20" s="53">
        <f t="shared" si="0"/>
        <v>29</v>
      </c>
      <c r="S20" s="51">
        <f t="shared" si="0"/>
        <v>28</v>
      </c>
      <c r="T20" s="52">
        <f t="shared" si="0"/>
        <v>27</v>
      </c>
      <c r="U20" s="52">
        <f t="shared" si="0"/>
        <v>26</v>
      </c>
      <c r="V20" s="52">
        <f t="shared" si="0"/>
        <v>25</v>
      </c>
      <c r="W20" s="53">
        <f t="shared" si="0"/>
        <v>24</v>
      </c>
      <c r="Y20" s="5">
        <f>AA22/AA19*X25</f>
        <v>19.011206798370278</v>
      </c>
      <c r="AA20">
        <v>222</v>
      </c>
      <c r="AB20" t="s">
        <v>50</v>
      </c>
    </row>
    <row r="21" spans="1:28" x14ac:dyDescent="0.25">
      <c r="A21" t="s">
        <v>3</v>
      </c>
      <c r="B21" s="5"/>
      <c r="D21" s="54">
        <v>1998</v>
      </c>
      <c r="E21" s="55">
        <v>1999</v>
      </c>
      <c r="F21" s="55">
        <f>E21+1</f>
        <v>2000</v>
      </c>
      <c r="G21" s="55">
        <f t="shared" ref="G21:V21" si="1">F21+1</f>
        <v>2001</v>
      </c>
      <c r="H21" s="56">
        <f t="shared" si="1"/>
        <v>2002</v>
      </c>
      <c r="I21" s="54">
        <f t="shared" si="1"/>
        <v>2003</v>
      </c>
      <c r="J21" s="55">
        <f t="shared" si="1"/>
        <v>2004</v>
      </c>
      <c r="K21" s="55">
        <f t="shared" si="1"/>
        <v>2005</v>
      </c>
      <c r="L21" s="55">
        <f t="shared" si="1"/>
        <v>2006</v>
      </c>
      <c r="M21" s="56">
        <f t="shared" si="1"/>
        <v>2007</v>
      </c>
      <c r="N21" s="54">
        <f t="shared" si="1"/>
        <v>2008</v>
      </c>
      <c r="O21" s="55">
        <f t="shared" si="1"/>
        <v>2009</v>
      </c>
      <c r="P21" s="55">
        <f t="shared" si="1"/>
        <v>2010</v>
      </c>
      <c r="Q21" s="55">
        <f t="shared" si="1"/>
        <v>2011</v>
      </c>
      <c r="R21" s="56">
        <f t="shared" si="1"/>
        <v>2012</v>
      </c>
      <c r="S21" s="54">
        <f>R21+1</f>
        <v>2013</v>
      </c>
      <c r="T21" s="55">
        <f t="shared" si="1"/>
        <v>2014</v>
      </c>
      <c r="U21" s="55">
        <f t="shared" si="1"/>
        <v>2015</v>
      </c>
      <c r="V21" s="55">
        <f t="shared" si="1"/>
        <v>2016</v>
      </c>
      <c r="W21" s="56">
        <f>V21+1</f>
        <v>2017</v>
      </c>
      <c r="Y21" s="5">
        <f>X25-Y20</f>
        <v>34.318931752902202</v>
      </c>
      <c r="AA21">
        <v>625</v>
      </c>
      <c r="AB21" t="s">
        <v>51</v>
      </c>
    </row>
    <row r="22" spans="1:28" x14ac:dyDescent="0.25">
      <c r="A22" t="s">
        <v>4</v>
      </c>
      <c r="D22" s="54"/>
      <c r="E22" s="57">
        <f>SUM(D24)/E20</f>
        <v>2.5797943751351342</v>
      </c>
      <c r="F22" s="57">
        <f t="shared" ref="F22:H22" si="2">SUM(E24)/F20</f>
        <v>2.5797943751351342</v>
      </c>
      <c r="G22" s="57">
        <f t="shared" si="2"/>
        <v>2.5797943751351342</v>
      </c>
      <c r="H22" s="58">
        <f t="shared" si="2"/>
        <v>2.5797943751351338</v>
      </c>
      <c r="I22" s="59">
        <f>$I$23/$I$20+I8</f>
        <v>5.694301386392663</v>
      </c>
      <c r="J22" s="57">
        <f t="shared" ref="J22:M22" si="3">$I$23/$I$20+J8</f>
        <v>6.1112664668092869</v>
      </c>
      <c r="K22" s="57">
        <f t="shared" si="3"/>
        <v>6.1610403185364184</v>
      </c>
      <c r="L22" s="57">
        <f t="shared" si="3"/>
        <v>6.5146715319807544</v>
      </c>
      <c r="M22" s="58">
        <f t="shared" si="3"/>
        <v>6.4117543428262103</v>
      </c>
      <c r="N22" s="59">
        <f>$M$23/$I$20+N8</f>
        <v>6.8323995660310537</v>
      </c>
      <c r="O22" s="57">
        <f t="shared" ref="O22:R22" si="4">$M$23/$I$20+O8</f>
        <v>6.6828889818725745</v>
      </c>
      <c r="P22" s="57">
        <f t="shared" si="4"/>
        <v>6.6613554863559727</v>
      </c>
      <c r="Q22" s="57">
        <f t="shared" si="4"/>
        <v>6.5304817305295355</v>
      </c>
      <c r="R22" s="58">
        <f t="shared" si="4"/>
        <v>6.4278415485344969</v>
      </c>
      <c r="S22" s="59">
        <f>$R$24/$S$20</f>
        <v>2.1152387782503883</v>
      </c>
      <c r="T22" s="57">
        <f t="shared" ref="T22:W22" si="5">$R$24/$S$20</f>
        <v>2.1152387782503883</v>
      </c>
      <c r="U22" s="57">
        <f t="shared" si="5"/>
        <v>2.1152387782503883</v>
      </c>
      <c r="V22" s="57">
        <f t="shared" si="5"/>
        <v>2.1152387782503883</v>
      </c>
      <c r="W22" s="58">
        <f t="shared" si="5"/>
        <v>2.1152387782503883</v>
      </c>
      <c r="X22" s="5"/>
      <c r="Y22" s="5">
        <f>SUM(Y20:Y21)</f>
        <v>53.330138551272483</v>
      </c>
      <c r="AA22">
        <f>SUM(AA20:AA21)</f>
        <v>847</v>
      </c>
    </row>
    <row r="23" spans="1:28" x14ac:dyDescent="0.25">
      <c r="A23" t="s">
        <v>5</v>
      </c>
      <c r="D23" s="54"/>
      <c r="E23" s="57">
        <f>D24</f>
        <v>95.452391879999965</v>
      </c>
      <c r="F23" s="57">
        <f t="shared" ref="F23:W23" si="6">E24</f>
        <v>92.872597504864828</v>
      </c>
      <c r="G23" s="57">
        <f t="shared" si="6"/>
        <v>90.292803129729691</v>
      </c>
      <c r="H23" s="58">
        <f t="shared" si="6"/>
        <v>87.713008754594554</v>
      </c>
      <c r="I23" s="62">
        <f>H24*'Economic Assumptions'!D39</f>
        <v>123.25468715087985</v>
      </c>
      <c r="J23" s="57">
        <f t="shared" si="6"/>
        <v>117.56038576448718</v>
      </c>
      <c r="K23" s="57">
        <f t="shared" si="6"/>
        <v>111.4491192976779</v>
      </c>
      <c r="L23" s="57">
        <f t="shared" si="6"/>
        <v>105.28807897914147</v>
      </c>
      <c r="M23" s="58">
        <f t="shared" si="6"/>
        <v>98.773407447160722</v>
      </c>
      <c r="N23" s="59">
        <f t="shared" si="6"/>
        <v>92.361653104334508</v>
      </c>
      <c r="O23" s="57">
        <f t="shared" si="6"/>
        <v>85.52925353830345</v>
      </c>
      <c r="P23" s="57">
        <f t="shared" si="6"/>
        <v>78.846364556430871</v>
      </c>
      <c r="Q23" s="57">
        <f t="shared" si="6"/>
        <v>72.185009070074898</v>
      </c>
      <c r="R23" s="58">
        <f t="shared" si="6"/>
        <v>65.654527339545368</v>
      </c>
      <c r="S23" s="59">
        <f t="shared" si="6"/>
        <v>59.226685791010873</v>
      </c>
      <c r="T23" s="57">
        <f t="shared" si="6"/>
        <v>57.111447012760486</v>
      </c>
      <c r="U23" s="57">
        <f t="shared" si="6"/>
        <v>54.9962082345101</v>
      </c>
      <c r="V23" s="57">
        <f t="shared" si="6"/>
        <v>52.880969456259713</v>
      </c>
      <c r="W23" s="58">
        <f t="shared" si="6"/>
        <v>50.765730678009326</v>
      </c>
      <c r="X23" s="5"/>
      <c r="Y23" s="5"/>
    </row>
    <row r="24" spans="1:28" x14ac:dyDescent="0.25">
      <c r="A24" t="s">
        <v>6</v>
      </c>
      <c r="D24" s="59">
        <f>B4/1000000</f>
        <v>95.452391879999965</v>
      </c>
      <c r="E24" s="57">
        <f>E23-E22</f>
        <v>92.872597504864828</v>
      </c>
      <c r="F24" s="57">
        <f t="shared" ref="F24:H24" si="7">F23-F22</f>
        <v>90.292803129729691</v>
      </c>
      <c r="G24" s="57">
        <f t="shared" si="7"/>
        <v>87.713008754594554</v>
      </c>
      <c r="H24" s="58">
        <f t="shared" si="7"/>
        <v>85.133214379459417</v>
      </c>
      <c r="I24" s="59">
        <f>I23-I22-I12</f>
        <v>117.56038576448718</v>
      </c>
      <c r="J24" s="57">
        <f>J23-J22-J12</f>
        <v>111.4491192976779</v>
      </c>
      <c r="K24" s="57">
        <f t="shared" ref="K24:W24" si="8">K23-K22-K12</f>
        <v>105.28807897914147</v>
      </c>
      <c r="L24" s="57">
        <f>L23-L22-L12</f>
        <v>98.773407447160722</v>
      </c>
      <c r="M24" s="58">
        <f t="shared" si="8"/>
        <v>92.361653104334508</v>
      </c>
      <c r="N24" s="59">
        <f t="shared" si="8"/>
        <v>85.52925353830345</v>
      </c>
      <c r="O24" s="57">
        <f t="shared" si="8"/>
        <v>78.846364556430871</v>
      </c>
      <c r="P24" s="57">
        <f t="shared" si="8"/>
        <v>72.185009070074898</v>
      </c>
      <c r="Q24" s="57">
        <f t="shared" si="8"/>
        <v>65.654527339545368</v>
      </c>
      <c r="R24" s="58">
        <f t="shared" si="8"/>
        <v>59.226685791010873</v>
      </c>
      <c r="S24" s="59">
        <f t="shared" si="8"/>
        <v>57.111447012760486</v>
      </c>
      <c r="T24" s="57">
        <f t="shared" si="8"/>
        <v>54.9962082345101</v>
      </c>
      <c r="U24" s="57">
        <f>U23-U22-U12</f>
        <v>52.880969456259713</v>
      </c>
      <c r="V24" s="57">
        <f t="shared" si="8"/>
        <v>50.765730678009326</v>
      </c>
      <c r="W24" s="58">
        <f t="shared" si="8"/>
        <v>48.65049189975894</v>
      </c>
      <c r="X24" s="5"/>
      <c r="Y24" s="67" t="s">
        <v>48</v>
      </c>
    </row>
    <row r="25" spans="1:28" x14ac:dyDescent="0.25">
      <c r="D25" s="60"/>
      <c r="E25" s="61"/>
      <c r="F25" s="63"/>
      <c r="G25" s="63"/>
      <c r="H25" s="64"/>
      <c r="I25" s="65"/>
      <c r="J25" s="63"/>
      <c r="K25" s="63"/>
      <c r="L25" s="63"/>
      <c r="M25" s="64"/>
      <c r="N25" s="65"/>
      <c r="O25" s="63"/>
      <c r="P25" s="63"/>
      <c r="Q25" s="63"/>
      <c r="R25" s="64"/>
      <c r="S25" s="65"/>
      <c r="T25" s="63"/>
      <c r="U25" s="63"/>
      <c r="V25" s="63"/>
      <c r="W25" s="64"/>
      <c r="X25" s="66">
        <f>W24*'Economic Assumptions'!D42</f>
        <v>53.330138551272476</v>
      </c>
      <c r="Y25" s="48" t="s">
        <v>47</v>
      </c>
    </row>
    <row r="26" spans="1:28" x14ac:dyDescent="0.25">
      <c r="D26" s="57"/>
      <c r="E26" s="57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spans="1:28" x14ac:dyDescent="0.25">
      <c r="B27" s="4"/>
      <c r="D27" t="s">
        <v>40</v>
      </c>
      <c r="I27" t="s">
        <v>42</v>
      </c>
      <c r="N27" t="s">
        <v>43</v>
      </c>
      <c r="S27" t="s">
        <v>46</v>
      </c>
      <c r="AA27" s="4">
        <f>C12-(540*68)-(557*68)</f>
        <v>161568</v>
      </c>
      <c r="AB27" t="s">
        <v>49</v>
      </c>
    </row>
    <row r="28" spans="1:28" x14ac:dyDescent="0.25">
      <c r="A28" s="48" t="s">
        <v>26</v>
      </c>
      <c r="D28" s="51"/>
      <c r="E28" s="52">
        <f>D12</f>
        <v>37</v>
      </c>
      <c r="F28" s="52">
        <f>E28-1</f>
        <v>36</v>
      </c>
      <c r="G28" s="52">
        <f t="shared" ref="G28:W28" si="9">F28-1</f>
        <v>35</v>
      </c>
      <c r="H28" s="53">
        <f t="shared" si="9"/>
        <v>34</v>
      </c>
      <c r="I28" s="51">
        <f>I20</f>
        <v>38</v>
      </c>
      <c r="J28" s="52">
        <f t="shared" si="9"/>
        <v>37</v>
      </c>
      <c r="K28" s="52">
        <f t="shared" si="9"/>
        <v>36</v>
      </c>
      <c r="L28" s="52">
        <f t="shared" si="9"/>
        <v>35</v>
      </c>
      <c r="M28" s="53">
        <f t="shared" si="9"/>
        <v>34</v>
      </c>
      <c r="N28" s="51">
        <f t="shared" si="9"/>
        <v>33</v>
      </c>
      <c r="O28" s="52">
        <f t="shared" si="9"/>
        <v>32</v>
      </c>
      <c r="P28" s="52">
        <f t="shared" si="9"/>
        <v>31</v>
      </c>
      <c r="Q28" s="52">
        <f t="shared" si="9"/>
        <v>30</v>
      </c>
      <c r="R28" s="53">
        <f t="shared" si="9"/>
        <v>29</v>
      </c>
      <c r="S28" s="51">
        <f t="shared" si="9"/>
        <v>28</v>
      </c>
      <c r="T28" s="52">
        <f t="shared" si="9"/>
        <v>27</v>
      </c>
      <c r="U28" s="52">
        <f t="shared" si="9"/>
        <v>26</v>
      </c>
      <c r="V28" s="52">
        <f t="shared" si="9"/>
        <v>25</v>
      </c>
      <c r="W28" s="53">
        <f t="shared" si="9"/>
        <v>24</v>
      </c>
      <c r="Y28" s="5">
        <f>AA30/AA27*X33</f>
        <v>22.3054536259787</v>
      </c>
      <c r="AA28">
        <f>222*68</f>
        <v>15096</v>
      </c>
      <c r="AB28" t="s">
        <v>50</v>
      </c>
    </row>
    <row r="29" spans="1:28" x14ac:dyDescent="0.25">
      <c r="A29" t="s">
        <v>3</v>
      </c>
      <c r="B29" s="5"/>
      <c r="D29" s="54">
        <v>1998</v>
      </c>
      <c r="E29" s="55">
        <v>1999</v>
      </c>
      <c r="F29" s="55">
        <f>E29+1</f>
        <v>2000</v>
      </c>
      <c r="G29" s="55">
        <f t="shared" ref="G29" si="10">F29+1</f>
        <v>2001</v>
      </c>
      <c r="H29" s="56">
        <f t="shared" ref="H29" si="11">G29+1</f>
        <v>2002</v>
      </c>
      <c r="I29" s="54">
        <f t="shared" ref="I29" si="12">H29+1</f>
        <v>2003</v>
      </c>
      <c r="J29" s="55">
        <f t="shared" ref="J29" si="13">I29+1</f>
        <v>2004</v>
      </c>
      <c r="K29" s="55">
        <f t="shared" ref="K29" si="14">J29+1</f>
        <v>2005</v>
      </c>
      <c r="L29" s="55">
        <f t="shared" ref="L29" si="15">K29+1</f>
        <v>2006</v>
      </c>
      <c r="M29" s="56">
        <f t="shared" ref="M29" si="16">L29+1</f>
        <v>2007</v>
      </c>
      <c r="N29" s="54">
        <f t="shared" ref="N29" si="17">M29+1</f>
        <v>2008</v>
      </c>
      <c r="O29" s="55">
        <f t="shared" ref="O29" si="18">N29+1</f>
        <v>2009</v>
      </c>
      <c r="P29" s="55">
        <f t="shared" ref="P29" si="19">O29+1</f>
        <v>2010</v>
      </c>
      <c r="Q29" s="55">
        <f t="shared" ref="Q29" si="20">P29+1</f>
        <v>2011</v>
      </c>
      <c r="R29" s="56">
        <f t="shared" ref="R29" si="21">Q29+1</f>
        <v>2012</v>
      </c>
      <c r="S29" s="54">
        <f>R29+1</f>
        <v>2013</v>
      </c>
      <c r="T29" s="55">
        <f t="shared" ref="T29" si="22">S29+1</f>
        <v>2014</v>
      </c>
      <c r="U29" s="55">
        <f t="shared" ref="U29" si="23">T29+1</f>
        <v>2015</v>
      </c>
      <c r="V29" s="55">
        <f t="shared" ref="V29" si="24">U29+1</f>
        <v>2016</v>
      </c>
      <c r="W29" s="56">
        <f>V29+1</f>
        <v>2017</v>
      </c>
      <c r="Y29" s="5">
        <f>X33-Y28</f>
        <v>40.265689013130384</v>
      </c>
      <c r="AA29">
        <f>625*68</f>
        <v>42500</v>
      </c>
      <c r="AB29" t="s">
        <v>51</v>
      </c>
    </row>
    <row r="30" spans="1:28" x14ac:dyDescent="0.25">
      <c r="A30" t="s">
        <v>4</v>
      </c>
      <c r="D30" s="54"/>
      <c r="E30" s="57">
        <f>D32/E28</f>
        <v>2.8500458679113625</v>
      </c>
      <c r="F30" s="57">
        <f t="shared" ref="F30:H30" si="25">E32/F28</f>
        <v>2.8500458679113625</v>
      </c>
      <c r="G30" s="57">
        <f t="shared" si="25"/>
        <v>2.8500458679113625</v>
      </c>
      <c r="H30" s="58">
        <f t="shared" si="25"/>
        <v>2.8500458679113625</v>
      </c>
      <c r="I30" s="59">
        <f>$I$31/$I$20+I9</f>
        <v>6.0612616974952402</v>
      </c>
      <c r="J30" s="57">
        <f t="shared" ref="J30:M30" si="26">$I$31/$I$20+J9</f>
        <v>6.4782237934646005</v>
      </c>
      <c r="K30" s="57">
        <f t="shared" si="26"/>
        <v>6.5279923887423141</v>
      </c>
      <c r="L30" s="57">
        <f t="shared" si="26"/>
        <v>6.8816246379933874</v>
      </c>
      <c r="M30" s="58">
        <f t="shared" si="26"/>
        <v>6.8816246379933874</v>
      </c>
      <c r="N30" s="59">
        <f>$M$32/$I$20+N9</f>
        <v>6.9744232569875022</v>
      </c>
      <c r="O30" s="57">
        <f t="shared" ref="O30:R30" si="27">$M$32/$I$20+O9</f>
        <v>6.9744232569875022</v>
      </c>
      <c r="P30" s="57">
        <f t="shared" si="27"/>
        <v>6.9744232569875022</v>
      </c>
      <c r="Q30" s="57">
        <f t="shared" si="27"/>
        <v>6.9744232569875022</v>
      </c>
      <c r="R30" s="58">
        <f t="shared" si="27"/>
        <v>6.9744232569875022</v>
      </c>
      <c r="S30" s="59">
        <f>R32/$S$20</f>
        <v>2.4451297750791574</v>
      </c>
      <c r="T30" s="57">
        <f t="shared" ref="T30:W30" si="28">S32/$S$20</f>
        <v>2.3578037116834736</v>
      </c>
      <c r="U30" s="57">
        <f t="shared" si="28"/>
        <v>2.2735964362662067</v>
      </c>
      <c r="V30" s="57">
        <f t="shared" si="28"/>
        <v>2.1923965635424136</v>
      </c>
      <c r="W30" s="58">
        <f t="shared" si="28"/>
        <v>2.1140966862730415</v>
      </c>
      <c r="Y30" s="5">
        <f>SUM(Y28:Y29)</f>
        <v>62.571142639109084</v>
      </c>
      <c r="AA30">
        <f>SUM(AA28:AA29)</f>
        <v>57596</v>
      </c>
    </row>
    <row r="31" spans="1:28" x14ac:dyDescent="0.25">
      <c r="A31" t="s">
        <v>5</v>
      </c>
      <c r="D31" s="54"/>
      <c r="E31" s="57">
        <f>D32</f>
        <v>105.45169711272041</v>
      </c>
      <c r="F31" s="57">
        <f t="shared" ref="F31:W31" si="29">E32</f>
        <v>102.60165124480905</v>
      </c>
      <c r="G31" s="57">
        <f t="shared" si="29"/>
        <v>99.751605376897686</v>
      </c>
      <c r="H31" s="58">
        <f t="shared" si="29"/>
        <v>96.901559508986324</v>
      </c>
      <c r="I31" s="62">
        <f>H32*'Economic Assumptions'!D39</f>
        <v>136.16647714284287</v>
      </c>
      <c r="J31" s="57">
        <f t="shared" si="29"/>
        <v>130.10521544534762</v>
      </c>
      <c r="K31" s="57">
        <f t="shared" si="29"/>
        <v>123.62699165188303</v>
      </c>
      <c r="L31" s="57">
        <f t="shared" si="29"/>
        <v>117.09899926314071</v>
      </c>
      <c r="M31" s="58">
        <f t="shared" si="29"/>
        <v>110.21737462514733</v>
      </c>
      <c r="N31" s="59">
        <f t="shared" si="29"/>
        <v>103.33574998715395</v>
      </c>
      <c r="O31" s="57">
        <f t="shared" si="29"/>
        <v>96.361326730166439</v>
      </c>
      <c r="P31" s="57">
        <f t="shared" si="29"/>
        <v>89.386903473178933</v>
      </c>
      <c r="Q31" s="57">
        <f t="shared" si="29"/>
        <v>82.412480216191426</v>
      </c>
      <c r="R31" s="58">
        <f t="shared" si="29"/>
        <v>75.438056959203919</v>
      </c>
      <c r="S31" s="59">
        <f t="shared" si="29"/>
        <v>68.463633702216413</v>
      </c>
      <c r="T31" s="57">
        <f t="shared" si="29"/>
        <v>66.01850392713726</v>
      </c>
      <c r="U31" s="57">
        <f t="shared" si="29"/>
        <v>63.660700215453787</v>
      </c>
      <c r="V31" s="57">
        <f t="shared" si="29"/>
        <v>61.387103779187584</v>
      </c>
      <c r="W31" s="58">
        <f t="shared" si="29"/>
        <v>59.194707215645167</v>
      </c>
    </row>
    <row r="32" spans="1:28" x14ac:dyDescent="0.25">
      <c r="A32" t="s">
        <v>6</v>
      </c>
      <c r="D32" s="59">
        <f>B12/1000000</f>
        <v>105.45169711272041</v>
      </c>
      <c r="E32" s="57">
        <f>E31-E30</f>
        <v>102.60165124480905</v>
      </c>
      <c r="F32" s="57">
        <f t="shared" ref="F32:H32" si="30">F31-F30</f>
        <v>99.751605376897686</v>
      </c>
      <c r="G32" s="57">
        <f t="shared" si="30"/>
        <v>96.901559508986324</v>
      </c>
      <c r="H32" s="58">
        <f t="shared" si="30"/>
        <v>94.051513641074962</v>
      </c>
      <c r="I32" s="59">
        <f t="shared" ref="I32:W32" si="31">I31-I30-I13</f>
        <v>130.10521544534762</v>
      </c>
      <c r="J32" s="57">
        <f t="shared" si="31"/>
        <v>123.62699165188303</v>
      </c>
      <c r="K32" s="57">
        <f t="shared" si="31"/>
        <v>117.09899926314071</v>
      </c>
      <c r="L32" s="57">
        <f t="shared" si="31"/>
        <v>110.21737462514733</v>
      </c>
      <c r="M32" s="58">
        <f t="shared" si="31"/>
        <v>103.33574998715395</v>
      </c>
      <c r="N32" s="59">
        <f t="shared" si="31"/>
        <v>96.361326730166439</v>
      </c>
      <c r="O32" s="57">
        <f t="shared" si="31"/>
        <v>89.386903473178933</v>
      </c>
      <c r="P32" s="57">
        <f t="shared" si="31"/>
        <v>82.412480216191426</v>
      </c>
      <c r="Q32" s="57">
        <f t="shared" si="31"/>
        <v>75.438056959203919</v>
      </c>
      <c r="R32" s="58">
        <f t="shared" si="31"/>
        <v>68.463633702216413</v>
      </c>
      <c r="S32" s="59">
        <f t="shared" si="31"/>
        <v>66.01850392713726</v>
      </c>
      <c r="T32" s="57">
        <f t="shared" si="31"/>
        <v>63.660700215453787</v>
      </c>
      <c r="U32" s="57">
        <f t="shared" si="31"/>
        <v>61.387103779187584</v>
      </c>
      <c r="V32" s="57">
        <f t="shared" si="31"/>
        <v>59.194707215645167</v>
      </c>
      <c r="W32" s="58">
        <f t="shared" si="31"/>
        <v>57.080610529372123</v>
      </c>
      <c r="X32" s="5"/>
      <c r="Y32" s="67" t="s">
        <v>48</v>
      </c>
    </row>
    <row r="33" spans="4:25" x14ac:dyDescent="0.25">
      <c r="D33" s="65"/>
      <c r="E33" s="63"/>
      <c r="F33" s="63"/>
      <c r="G33" s="63"/>
      <c r="H33" s="64"/>
      <c r="I33" s="65"/>
      <c r="J33" s="63"/>
      <c r="K33" s="63"/>
      <c r="L33" s="63"/>
      <c r="M33" s="64"/>
      <c r="N33" s="65"/>
      <c r="O33" s="63"/>
      <c r="P33" s="63"/>
      <c r="Q33" s="63"/>
      <c r="R33" s="64"/>
      <c r="S33" s="65"/>
      <c r="T33" s="63"/>
      <c r="U33" s="63"/>
      <c r="V33" s="63"/>
      <c r="W33" s="64"/>
      <c r="X33" s="66">
        <f>W32*'Economic Assumptions'!D42</f>
        <v>62.571142639109084</v>
      </c>
      <c r="Y33" s="48" t="s">
        <v>47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63"/>
  <sheetViews>
    <sheetView workbookViewId="0">
      <pane xSplit="2" topLeftCell="C1" activePane="topRight" state="frozen"/>
      <selection pane="topRight" activeCell="D42" sqref="D42"/>
    </sheetView>
  </sheetViews>
  <sheetFormatPr defaultRowHeight="12.75" x14ac:dyDescent="0.2"/>
  <cols>
    <col min="1" max="1" width="21" style="6" bestFit="1" customWidth="1"/>
    <col min="2" max="26" width="9.140625" style="6" customWidth="1"/>
    <col min="27" max="28" width="9.140625" style="6"/>
    <col min="29" max="30" width="9.140625" style="6" customWidth="1"/>
    <col min="31" max="256" width="9.140625" style="6"/>
    <col min="257" max="257" width="21" style="6" bestFit="1" customWidth="1"/>
    <col min="258" max="271" width="9.140625" style="6"/>
    <col min="272" max="274" width="9.5703125" style="6" bestFit="1" customWidth="1"/>
    <col min="275" max="275" width="11.42578125" style="6" bestFit="1" customWidth="1"/>
    <col min="276" max="277" width="9.140625" style="6"/>
    <col min="278" max="278" width="10.28515625" style="6" bestFit="1" customWidth="1"/>
    <col min="279" max="512" width="9.140625" style="6"/>
    <col min="513" max="513" width="21" style="6" bestFit="1" customWidth="1"/>
    <col min="514" max="527" width="9.140625" style="6"/>
    <col min="528" max="530" width="9.5703125" style="6" bestFit="1" customWidth="1"/>
    <col min="531" max="531" width="11.42578125" style="6" bestFit="1" customWidth="1"/>
    <col min="532" max="533" width="9.140625" style="6"/>
    <col min="534" max="534" width="10.28515625" style="6" bestFit="1" customWidth="1"/>
    <col min="535" max="768" width="9.140625" style="6"/>
    <col min="769" max="769" width="21" style="6" bestFit="1" customWidth="1"/>
    <col min="770" max="783" width="9.140625" style="6"/>
    <col min="784" max="786" width="9.5703125" style="6" bestFit="1" customWidth="1"/>
    <col min="787" max="787" width="11.42578125" style="6" bestFit="1" customWidth="1"/>
    <col min="788" max="789" width="9.140625" style="6"/>
    <col min="790" max="790" width="10.28515625" style="6" bestFit="1" customWidth="1"/>
    <col min="791" max="1024" width="9.140625" style="6"/>
    <col min="1025" max="1025" width="21" style="6" bestFit="1" customWidth="1"/>
    <col min="1026" max="1039" width="9.140625" style="6"/>
    <col min="1040" max="1042" width="9.5703125" style="6" bestFit="1" customWidth="1"/>
    <col min="1043" max="1043" width="11.42578125" style="6" bestFit="1" customWidth="1"/>
    <col min="1044" max="1045" width="9.140625" style="6"/>
    <col min="1046" max="1046" width="10.28515625" style="6" bestFit="1" customWidth="1"/>
    <col min="1047" max="1280" width="9.140625" style="6"/>
    <col min="1281" max="1281" width="21" style="6" bestFit="1" customWidth="1"/>
    <col min="1282" max="1295" width="9.140625" style="6"/>
    <col min="1296" max="1298" width="9.5703125" style="6" bestFit="1" customWidth="1"/>
    <col min="1299" max="1299" width="11.42578125" style="6" bestFit="1" customWidth="1"/>
    <col min="1300" max="1301" width="9.140625" style="6"/>
    <col min="1302" max="1302" width="10.28515625" style="6" bestFit="1" customWidth="1"/>
    <col min="1303" max="1536" width="9.140625" style="6"/>
    <col min="1537" max="1537" width="21" style="6" bestFit="1" customWidth="1"/>
    <col min="1538" max="1551" width="9.140625" style="6"/>
    <col min="1552" max="1554" width="9.5703125" style="6" bestFit="1" customWidth="1"/>
    <col min="1555" max="1555" width="11.42578125" style="6" bestFit="1" customWidth="1"/>
    <col min="1556" max="1557" width="9.140625" style="6"/>
    <col min="1558" max="1558" width="10.28515625" style="6" bestFit="1" customWidth="1"/>
    <col min="1559" max="1792" width="9.140625" style="6"/>
    <col min="1793" max="1793" width="21" style="6" bestFit="1" customWidth="1"/>
    <col min="1794" max="1807" width="9.140625" style="6"/>
    <col min="1808" max="1810" width="9.5703125" style="6" bestFit="1" customWidth="1"/>
    <col min="1811" max="1811" width="11.42578125" style="6" bestFit="1" customWidth="1"/>
    <col min="1812" max="1813" width="9.140625" style="6"/>
    <col min="1814" max="1814" width="10.28515625" style="6" bestFit="1" customWidth="1"/>
    <col min="1815" max="2048" width="9.140625" style="6"/>
    <col min="2049" max="2049" width="21" style="6" bestFit="1" customWidth="1"/>
    <col min="2050" max="2063" width="9.140625" style="6"/>
    <col min="2064" max="2066" width="9.5703125" style="6" bestFit="1" customWidth="1"/>
    <col min="2067" max="2067" width="11.42578125" style="6" bestFit="1" customWidth="1"/>
    <col min="2068" max="2069" width="9.140625" style="6"/>
    <col min="2070" max="2070" width="10.28515625" style="6" bestFit="1" customWidth="1"/>
    <col min="2071" max="2304" width="9.140625" style="6"/>
    <col min="2305" max="2305" width="21" style="6" bestFit="1" customWidth="1"/>
    <col min="2306" max="2319" width="9.140625" style="6"/>
    <col min="2320" max="2322" width="9.5703125" style="6" bestFit="1" customWidth="1"/>
    <col min="2323" max="2323" width="11.42578125" style="6" bestFit="1" customWidth="1"/>
    <col min="2324" max="2325" width="9.140625" style="6"/>
    <col min="2326" max="2326" width="10.28515625" style="6" bestFit="1" customWidth="1"/>
    <col min="2327" max="2560" width="9.140625" style="6"/>
    <col min="2561" max="2561" width="21" style="6" bestFit="1" customWidth="1"/>
    <col min="2562" max="2575" width="9.140625" style="6"/>
    <col min="2576" max="2578" width="9.5703125" style="6" bestFit="1" customWidth="1"/>
    <col min="2579" max="2579" width="11.42578125" style="6" bestFit="1" customWidth="1"/>
    <col min="2580" max="2581" width="9.140625" style="6"/>
    <col min="2582" max="2582" width="10.28515625" style="6" bestFit="1" customWidth="1"/>
    <col min="2583" max="2816" width="9.140625" style="6"/>
    <col min="2817" max="2817" width="21" style="6" bestFit="1" customWidth="1"/>
    <col min="2818" max="2831" width="9.140625" style="6"/>
    <col min="2832" max="2834" width="9.5703125" style="6" bestFit="1" customWidth="1"/>
    <col min="2835" max="2835" width="11.42578125" style="6" bestFit="1" customWidth="1"/>
    <col min="2836" max="2837" width="9.140625" style="6"/>
    <col min="2838" max="2838" width="10.28515625" style="6" bestFit="1" customWidth="1"/>
    <col min="2839" max="3072" width="9.140625" style="6"/>
    <col min="3073" max="3073" width="21" style="6" bestFit="1" customWidth="1"/>
    <col min="3074" max="3087" width="9.140625" style="6"/>
    <col min="3088" max="3090" width="9.5703125" style="6" bestFit="1" customWidth="1"/>
    <col min="3091" max="3091" width="11.42578125" style="6" bestFit="1" customWidth="1"/>
    <col min="3092" max="3093" width="9.140625" style="6"/>
    <col min="3094" max="3094" width="10.28515625" style="6" bestFit="1" customWidth="1"/>
    <col min="3095" max="3328" width="9.140625" style="6"/>
    <col min="3329" max="3329" width="21" style="6" bestFit="1" customWidth="1"/>
    <col min="3330" max="3343" width="9.140625" style="6"/>
    <col min="3344" max="3346" width="9.5703125" style="6" bestFit="1" customWidth="1"/>
    <col min="3347" max="3347" width="11.42578125" style="6" bestFit="1" customWidth="1"/>
    <col min="3348" max="3349" width="9.140625" style="6"/>
    <col min="3350" max="3350" width="10.28515625" style="6" bestFit="1" customWidth="1"/>
    <col min="3351" max="3584" width="9.140625" style="6"/>
    <col min="3585" max="3585" width="21" style="6" bestFit="1" customWidth="1"/>
    <col min="3586" max="3599" width="9.140625" style="6"/>
    <col min="3600" max="3602" width="9.5703125" style="6" bestFit="1" customWidth="1"/>
    <col min="3603" max="3603" width="11.42578125" style="6" bestFit="1" customWidth="1"/>
    <col min="3604" max="3605" width="9.140625" style="6"/>
    <col min="3606" max="3606" width="10.28515625" style="6" bestFit="1" customWidth="1"/>
    <col min="3607" max="3840" width="9.140625" style="6"/>
    <col min="3841" max="3841" width="21" style="6" bestFit="1" customWidth="1"/>
    <col min="3842" max="3855" width="9.140625" style="6"/>
    <col min="3856" max="3858" width="9.5703125" style="6" bestFit="1" customWidth="1"/>
    <col min="3859" max="3859" width="11.42578125" style="6" bestFit="1" customWidth="1"/>
    <col min="3860" max="3861" width="9.140625" style="6"/>
    <col min="3862" max="3862" width="10.28515625" style="6" bestFit="1" customWidth="1"/>
    <col min="3863" max="4096" width="9.140625" style="6"/>
    <col min="4097" max="4097" width="21" style="6" bestFit="1" customWidth="1"/>
    <col min="4098" max="4111" width="9.140625" style="6"/>
    <col min="4112" max="4114" width="9.5703125" style="6" bestFit="1" customWidth="1"/>
    <col min="4115" max="4115" width="11.42578125" style="6" bestFit="1" customWidth="1"/>
    <col min="4116" max="4117" width="9.140625" style="6"/>
    <col min="4118" max="4118" width="10.28515625" style="6" bestFit="1" customWidth="1"/>
    <col min="4119" max="4352" width="9.140625" style="6"/>
    <col min="4353" max="4353" width="21" style="6" bestFit="1" customWidth="1"/>
    <col min="4354" max="4367" width="9.140625" style="6"/>
    <col min="4368" max="4370" width="9.5703125" style="6" bestFit="1" customWidth="1"/>
    <col min="4371" max="4371" width="11.42578125" style="6" bestFit="1" customWidth="1"/>
    <col min="4372" max="4373" width="9.140625" style="6"/>
    <col min="4374" max="4374" width="10.28515625" style="6" bestFit="1" customWidth="1"/>
    <col min="4375" max="4608" width="9.140625" style="6"/>
    <col min="4609" max="4609" width="21" style="6" bestFit="1" customWidth="1"/>
    <col min="4610" max="4623" width="9.140625" style="6"/>
    <col min="4624" max="4626" width="9.5703125" style="6" bestFit="1" customWidth="1"/>
    <col min="4627" max="4627" width="11.42578125" style="6" bestFit="1" customWidth="1"/>
    <col min="4628" max="4629" width="9.140625" style="6"/>
    <col min="4630" max="4630" width="10.28515625" style="6" bestFit="1" customWidth="1"/>
    <col min="4631" max="4864" width="9.140625" style="6"/>
    <col min="4865" max="4865" width="21" style="6" bestFit="1" customWidth="1"/>
    <col min="4866" max="4879" width="9.140625" style="6"/>
    <col min="4880" max="4882" width="9.5703125" style="6" bestFit="1" customWidth="1"/>
    <col min="4883" max="4883" width="11.42578125" style="6" bestFit="1" customWidth="1"/>
    <col min="4884" max="4885" width="9.140625" style="6"/>
    <col min="4886" max="4886" width="10.28515625" style="6" bestFit="1" customWidth="1"/>
    <col min="4887" max="5120" width="9.140625" style="6"/>
    <col min="5121" max="5121" width="21" style="6" bestFit="1" customWidth="1"/>
    <col min="5122" max="5135" width="9.140625" style="6"/>
    <col min="5136" max="5138" width="9.5703125" style="6" bestFit="1" customWidth="1"/>
    <col min="5139" max="5139" width="11.42578125" style="6" bestFit="1" customWidth="1"/>
    <col min="5140" max="5141" width="9.140625" style="6"/>
    <col min="5142" max="5142" width="10.28515625" style="6" bestFit="1" customWidth="1"/>
    <col min="5143" max="5376" width="9.140625" style="6"/>
    <col min="5377" max="5377" width="21" style="6" bestFit="1" customWidth="1"/>
    <col min="5378" max="5391" width="9.140625" style="6"/>
    <col min="5392" max="5394" width="9.5703125" style="6" bestFit="1" customWidth="1"/>
    <col min="5395" max="5395" width="11.42578125" style="6" bestFit="1" customWidth="1"/>
    <col min="5396" max="5397" width="9.140625" style="6"/>
    <col min="5398" max="5398" width="10.28515625" style="6" bestFit="1" customWidth="1"/>
    <col min="5399" max="5632" width="9.140625" style="6"/>
    <col min="5633" max="5633" width="21" style="6" bestFit="1" customWidth="1"/>
    <col min="5634" max="5647" width="9.140625" style="6"/>
    <col min="5648" max="5650" width="9.5703125" style="6" bestFit="1" customWidth="1"/>
    <col min="5651" max="5651" width="11.42578125" style="6" bestFit="1" customWidth="1"/>
    <col min="5652" max="5653" width="9.140625" style="6"/>
    <col min="5654" max="5654" width="10.28515625" style="6" bestFit="1" customWidth="1"/>
    <col min="5655" max="5888" width="9.140625" style="6"/>
    <col min="5889" max="5889" width="21" style="6" bestFit="1" customWidth="1"/>
    <col min="5890" max="5903" width="9.140625" style="6"/>
    <col min="5904" max="5906" width="9.5703125" style="6" bestFit="1" customWidth="1"/>
    <col min="5907" max="5907" width="11.42578125" style="6" bestFit="1" customWidth="1"/>
    <col min="5908" max="5909" width="9.140625" style="6"/>
    <col min="5910" max="5910" width="10.28515625" style="6" bestFit="1" customWidth="1"/>
    <col min="5911" max="6144" width="9.140625" style="6"/>
    <col min="6145" max="6145" width="21" style="6" bestFit="1" customWidth="1"/>
    <col min="6146" max="6159" width="9.140625" style="6"/>
    <col min="6160" max="6162" width="9.5703125" style="6" bestFit="1" customWidth="1"/>
    <col min="6163" max="6163" width="11.42578125" style="6" bestFit="1" customWidth="1"/>
    <col min="6164" max="6165" width="9.140625" style="6"/>
    <col min="6166" max="6166" width="10.28515625" style="6" bestFit="1" customWidth="1"/>
    <col min="6167" max="6400" width="9.140625" style="6"/>
    <col min="6401" max="6401" width="21" style="6" bestFit="1" customWidth="1"/>
    <col min="6402" max="6415" width="9.140625" style="6"/>
    <col min="6416" max="6418" width="9.5703125" style="6" bestFit="1" customWidth="1"/>
    <col min="6419" max="6419" width="11.42578125" style="6" bestFit="1" customWidth="1"/>
    <col min="6420" max="6421" width="9.140625" style="6"/>
    <col min="6422" max="6422" width="10.28515625" style="6" bestFit="1" customWidth="1"/>
    <col min="6423" max="6656" width="9.140625" style="6"/>
    <col min="6657" max="6657" width="21" style="6" bestFit="1" customWidth="1"/>
    <col min="6658" max="6671" width="9.140625" style="6"/>
    <col min="6672" max="6674" width="9.5703125" style="6" bestFit="1" customWidth="1"/>
    <col min="6675" max="6675" width="11.42578125" style="6" bestFit="1" customWidth="1"/>
    <col min="6676" max="6677" width="9.140625" style="6"/>
    <col min="6678" max="6678" width="10.28515625" style="6" bestFit="1" customWidth="1"/>
    <col min="6679" max="6912" width="9.140625" style="6"/>
    <col min="6913" max="6913" width="21" style="6" bestFit="1" customWidth="1"/>
    <col min="6914" max="6927" width="9.140625" style="6"/>
    <col min="6928" max="6930" width="9.5703125" style="6" bestFit="1" customWidth="1"/>
    <col min="6931" max="6931" width="11.42578125" style="6" bestFit="1" customWidth="1"/>
    <col min="6932" max="6933" width="9.140625" style="6"/>
    <col min="6934" max="6934" width="10.28515625" style="6" bestFit="1" customWidth="1"/>
    <col min="6935" max="7168" width="9.140625" style="6"/>
    <col min="7169" max="7169" width="21" style="6" bestFit="1" customWidth="1"/>
    <col min="7170" max="7183" width="9.140625" style="6"/>
    <col min="7184" max="7186" width="9.5703125" style="6" bestFit="1" customWidth="1"/>
    <col min="7187" max="7187" width="11.42578125" style="6" bestFit="1" customWidth="1"/>
    <col min="7188" max="7189" width="9.140625" style="6"/>
    <col min="7190" max="7190" width="10.28515625" style="6" bestFit="1" customWidth="1"/>
    <col min="7191" max="7424" width="9.140625" style="6"/>
    <col min="7425" max="7425" width="21" style="6" bestFit="1" customWidth="1"/>
    <col min="7426" max="7439" width="9.140625" style="6"/>
    <col min="7440" max="7442" width="9.5703125" style="6" bestFit="1" customWidth="1"/>
    <col min="7443" max="7443" width="11.42578125" style="6" bestFit="1" customWidth="1"/>
    <col min="7444" max="7445" width="9.140625" style="6"/>
    <col min="7446" max="7446" width="10.28515625" style="6" bestFit="1" customWidth="1"/>
    <col min="7447" max="7680" width="9.140625" style="6"/>
    <col min="7681" max="7681" width="21" style="6" bestFit="1" customWidth="1"/>
    <col min="7682" max="7695" width="9.140625" style="6"/>
    <col min="7696" max="7698" width="9.5703125" style="6" bestFit="1" customWidth="1"/>
    <col min="7699" max="7699" width="11.42578125" style="6" bestFit="1" customWidth="1"/>
    <col min="7700" max="7701" width="9.140625" style="6"/>
    <col min="7702" max="7702" width="10.28515625" style="6" bestFit="1" customWidth="1"/>
    <col min="7703" max="7936" width="9.140625" style="6"/>
    <col min="7937" max="7937" width="21" style="6" bestFit="1" customWidth="1"/>
    <col min="7938" max="7951" width="9.140625" style="6"/>
    <col min="7952" max="7954" width="9.5703125" style="6" bestFit="1" customWidth="1"/>
    <col min="7955" max="7955" width="11.42578125" style="6" bestFit="1" customWidth="1"/>
    <col min="7956" max="7957" width="9.140625" style="6"/>
    <col min="7958" max="7958" width="10.28515625" style="6" bestFit="1" customWidth="1"/>
    <col min="7959" max="8192" width="9.140625" style="6"/>
    <col min="8193" max="8193" width="21" style="6" bestFit="1" customWidth="1"/>
    <col min="8194" max="8207" width="9.140625" style="6"/>
    <col min="8208" max="8210" width="9.5703125" style="6" bestFit="1" customWidth="1"/>
    <col min="8211" max="8211" width="11.42578125" style="6" bestFit="1" customWidth="1"/>
    <col min="8212" max="8213" width="9.140625" style="6"/>
    <col min="8214" max="8214" width="10.28515625" style="6" bestFit="1" customWidth="1"/>
    <col min="8215" max="8448" width="9.140625" style="6"/>
    <col min="8449" max="8449" width="21" style="6" bestFit="1" customWidth="1"/>
    <col min="8450" max="8463" width="9.140625" style="6"/>
    <col min="8464" max="8466" width="9.5703125" style="6" bestFit="1" customWidth="1"/>
    <col min="8467" max="8467" width="11.42578125" style="6" bestFit="1" customWidth="1"/>
    <col min="8468" max="8469" width="9.140625" style="6"/>
    <col min="8470" max="8470" width="10.28515625" style="6" bestFit="1" customWidth="1"/>
    <col min="8471" max="8704" width="9.140625" style="6"/>
    <col min="8705" max="8705" width="21" style="6" bestFit="1" customWidth="1"/>
    <col min="8706" max="8719" width="9.140625" style="6"/>
    <col min="8720" max="8722" width="9.5703125" style="6" bestFit="1" customWidth="1"/>
    <col min="8723" max="8723" width="11.42578125" style="6" bestFit="1" customWidth="1"/>
    <col min="8724" max="8725" width="9.140625" style="6"/>
    <col min="8726" max="8726" width="10.28515625" style="6" bestFit="1" customWidth="1"/>
    <col min="8727" max="8960" width="9.140625" style="6"/>
    <col min="8961" max="8961" width="21" style="6" bestFit="1" customWidth="1"/>
    <col min="8962" max="8975" width="9.140625" style="6"/>
    <col min="8976" max="8978" width="9.5703125" style="6" bestFit="1" customWidth="1"/>
    <col min="8979" max="8979" width="11.42578125" style="6" bestFit="1" customWidth="1"/>
    <col min="8980" max="8981" width="9.140625" style="6"/>
    <col min="8982" max="8982" width="10.28515625" style="6" bestFit="1" customWidth="1"/>
    <col min="8983" max="9216" width="9.140625" style="6"/>
    <col min="9217" max="9217" width="21" style="6" bestFit="1" customWidth="1"/>
    <col min="9218" max="9231" width="9.140625" style="6"/>
    <col min="9232" max="9234" width="9.5703125" style="6" bestFit="1" customWidth="1"/>
    <col min="9235" max="9235" width="11.42578125" style="6" bestFit="1" customWidth="1"/>
    <col min="9236" max="9237" width="9.140625" style="6"/>
    <col min="9238" max="9238" width="10.28515625" style="6" bestFit="1" customWidth="1"/>
    <col min="9239" max="9472" width="9.140625" style="6"/>
    <col min="9473" max="9473" width="21" style="6" bestFit="1" customWidth="1"/>
    <col min="9474" max="9487" width="9.140625" style="6"/>
    <col min="9488" max="9490" width="9.5703125" style="6" bestFit="1" customWidth="1"/>
    <col min="9491" max="9491" width="11.42578125" style="6" bestFit="1" customWidth="1"/>
    <col min="9492" max="9493" width="9.140625" style="6"/>
    <col min="9494" max="9494" width="10.28515625" style="6" bestFit="1" customWidth="1"/>
    <col min="9495" max="9728" width="9.140625" style="6"/>
    <col min="9729" max="9729" width="21" style="6" bestFit="1" customWidth="1"/>
    <col min="9730" max="9743" width="9.140625" style="6"/>
    <col min="9744" max="9746" width="9.5703125" style="6" bestFit="1" customWidth="1"/>
    <col min="9747" max="9747" width="11.42578125" style="6" bestFit="1" customWidth="1"/>
    <col min="9748" max="9749" width="9.140625" style="6"/>
    <col min="9750" max="9750" width="10.28515625" style="6" bestFit="1" customWidth="1"/>
    <col min="9751" max="9984" width="9.140625" style="6"/>
    <col min="9985" max="9985" width="21" style="6" bestFit="1" customWidth="1"/>
    <col min="9986" max="9999" width="9.140625" style="6"/>
    <col min="10000" max="10002" width="9.5703125" style="6" bestFit="1" customWidth="1"/>
    <col min="10003" max="10003" width="11.42578125" style="6" bestFit="1" customWidth="1"/>
    <col min="10004" max="10005" width="9.140625" style="6"/>
    <col min="10006" max="10006" width="10.28515625" style="6" bestFit="1" customWidth="1"/>
    <col min="10007" max="10240" width="9.140625" style="6"/>
    <col min="10241" max="10241" width="21" style="6" bestFit="1" customWidth="1"/>
    <col min="10242" max="10255" width="9.140625" style="6"/>
    <col min="10256" max="10258" width="9.5703125" style="6" bestFit="1" customWidth="1"/>
    <col min="10259" max="10259" width="11.42578125" style="6" bestFit="1" customWidth="1"/>
    <col min="10260" max="10261" width="9.140625" style="6"/>
    <col min="10262" max="10262" width="10.28515625" style="6" bestFit="1" customWidth="1"/>
    <col min="10263" max="10496" width="9.140625" style="6"/>
    <col min="10497" max="10497" width="21" style="6" bestFit="1" customWidth="1"/>
    <col min="10498" max="10511" width="9.140625" style="6"/>
    <col min="10512" max="10514" width="9.5703125" style="6" bestFit="1" customWidth="1"/>
    <col min="10515" max="10515" width="11.42578125" style="6" bestFit="1" customWidth="1"/>
    <col min="10516" max="10517" width="9.140625" style="6"/>
    <col min="10518" max="10518" width="10.28515625" style="6" bestFit="1" customWidth="1"/>
    <col min="10519" max="10752" width="9.140625" style="6"/>
    <col min="10753" max="10753" width="21" style="6" bestFit="1" customWidth="1"/>
    <col min="10754" max="10767" width="9.140625" style="6"/>
    <col min="10768" max="10770" width="9.5703125" style="6" bestFit="1" customWidth="1"/>
    <col min="10771" max="10771" width="11.42578125" style="6" bestFit="1" customWidth="1"/>
    <col min="10772" max="10773" width="9.140625" style="6"/>
    <col min="10774" max="10774" width="10.28515625" style="6" bestFit="1" customWidth="1"/>
    <col min="10775" max="11008" width="9.140625" style="6"/>
    <col min="11009" max="11009" width="21" style="6" bestFit="1" customWidth="1"/>
    <col min="11010" max="11023" width="9.140625" style="6"/>
    <col min="11024" max="11026" width="9.5703125" style="6" bestFit="1" customWidth="1"/>
    <col min="11027" max="11027" width="11.42578125" style="6" bestFit="1" customWidth="1"/>
    <col min="11028" max="11029" width="9.140625" style="6"/>
    <col min="11030" max="11030" width="10.28515625" style="6" bestFit="1" customWidth="1"/>
    <col min="11031" max="11264" width="9.140625" style="6"/>
    <col min="11265" max="11265" width="21" style="6" bestFit="1" customWidth="1"/>
    <col min="11266" max="11279" width="9.140625" style="6"/>
    <col min="11280" max="11282" width="9.5703125" style="6" bestFit="1" customWidth="1"/>
    <col min="11283" max="11283" width="11.42578125" style="6" bestFit="1" customWidth="1"/>
    <col min="11284" max="11285" width="9.140625" style="6"/>
    <col min="11286" max="11286" width="10.28515625" style="6" bestFit="1" customWidth="1"/>
    <col min="11287" max="11520" width="9.140625" style="6"/>
    <col min="11521" max="11521" width="21" style="6" bestFit="1" customWidth="1"/>
    <col min="11522" max="11535" width="9.140625" style="6"/>
    <col min="11536" max="11538" width="9.5703125" style="6" bestFit="1" customWidth="1"/>
    <col min="11539" max="11539" width="11.42578125" style="6" bestFit="1" customWidth="1"/>
    <col min="11540" max="11541" width="9.140625" style="6"/>
    <col min="11542" max="11542" width="10.28515625" style="6" bestFit="1" customWidth="1"/>
    <col min="11543" max="11776" width="9.140625" style="6"/>
    <col min="11777" max="11777" width="21" style="6" bestFit="1" customWidth="1"/>
    <col min="11778" max="11791" width="9.140625" style="6"/>
    <col min="11792" max="11794" width="9.5703125" style="6" bestFit="1" customWidth="1"/>
    <col min="11795" max="11795" width="11.42578125" style="6" bestFit="1" customWidth="1"/>
    <col min="11796" max="11797" width="9.140625" style="6"/>
    <col min="11798" max="11798" width="10.28515625" style="6" bestFit="1" customWidth="1"/>
    <col min="11799" max="12032" width="9.140625" style="6"/>
    <col min="12033" max="12033" width="21" style="6" bestFit="1" customWidth="1"/>
    <col min="12034" max="12047" width="9.140625" style="6"/>
    <col min="12048" max="12050" width="9.5703125" style="6" bestFit="1" customWidth="1"/>
    <col min="12051" max="12051" width="11.42578125" style="6" bestFit="1" customWidth="1"/>
    <col min="12052" max="12053" width="9.140625" style="6"/>
    <col min="12054" max="12054" width="10.28515625" style="6" bestFit="1" customWidth="1"/>
    <col min="12055" max="12288" width="9.140625" style="6"/>
    <col min="12289" max="12289" width="21" style="6" bestFit="1" customWidth="1"/>
    <col min="12290" max="12303" width="9.140625" style="6"/>
    <col min="12304" max="12306" width="9.5703125" style="6" bestFit="1" customWidth="1"/>
    <col min="12307" max="12307" width="11.42578125" style="6" bestFit="1" customWidth="1"/>
    <col min="12308" max="12309" width="9.140625" style="6"/>
    <col min="12310" max="12310" width="10.28515625" style="6" bestFit="1" customWidth="1"/>
    <col min="12311" max="12544" width="9.140625" style="6"/>
    <col min="12545" max="12545" width="21" style="6" bestFit="1" customWidth="1"/>
    <col min="12546" max="12559" width="9.140625" style="6"/>
    <col min="12560" max="12562" width="9.5703125" style="6" bestFit="1" customWidth="1"/>
    <col min="12563" max="12563" width="11.42578125" style="6" bestFit="1" customWidth="1"/>
    <col min="12564" max="12565" width="9.140625" style="6"/>
    <col min="12566" max="12566" width="10.28515625" style="6" bestFit="1" customWidth="1"/>
    <col min="12567" max="12800" width="9.140625" style="6"/>
    <col min="12801" max="12801" width="21" style="6" bestFit="1" customWidth="1"/>
    <col min="12802" max="12815" width="9.140625" style="6"/>
    <col min="12816" max="12818" width="9.5703125" style="6" bestFit="1" customWidth="1"/>
    <col min="12819" max="12819" width="11.42578125" style="6" bestFit="1" customWidth="1"/>
    <col min="12820" max="12821" width="9.140625" style="6"/>
    <col min="12822" max="12822" width="10.28515625" style="6" bestFit="1" customWidth="1"/>
    <col min="12823" max="13056" width="9.140625" style="6"/>
    <col min="13057" max="13057" width="21" style="6" bestFit="1" customWidth="1"/>
    <col min="13058" max="13071" width="9.140625" style="6"/>
    <col min="13072" max="13074" width="9.5703125" style="6" bestFit="1" customWidth="1"/>
    <col min="13075" max="13075" width="11.42578125" style="6" bestFit="1" customWidth="1"/>
    <col min="13076" max="13077" width="9.140625" style="6"/>
    <col min="13078" max="13078" width="10.28515625" style="6" bestFit="1" customWidth="1"/>
    <col min="13079" max="13312" width="9.140625" style="6"/>
    <col min="13313" max="13313" width="21" style="6" bestFit="1" customWidth="1"/>
    <col min="13314" max="13327" width="9.140625" style="6"/>
    <col min="13328" max="13330" width="9.5703125" style="6" bestFit="1" customWidth="1"/>
    <col min="13331" max="13331" width="11.42578125" style="6" bestFit="1" customWidth="1"/>
    <col min="13332" max="13333" width="9.140625" style="6"/>
    <col min="13334" max="13334" width="10.28515625" style="6" bestFit="1" customWidth="1"/>
    <col min="13335" max="13568" width="9.140625" style="6"/>
    <col min="13569" max="13569" width="21" style="6" bestFit="1" customWidth="1"/>
    <col min="13570" max="13583" width="9.140625" style="6"/>
    <col min="13584" max="13586" width="9.5703125" style="6" bestFit="1" customWidth="1"/>
    <col min="13587" max="13587" width="11.42578125" style="6" bestFit="1" customWidth="1"/>
    <col min="13588" max="13589" width="9.140625" style="6"/>
    <col min="13590" max="13590" width="10.28515625" style="6" bestFit="1" customWidth="1"/>
    <col min="13591" max="13824" width="9.140625" style="6"/>
    <col min="13825" max="13825" width="21" style="6" bestFit="1" customWidth="1"/>
    <col min="13826" max="13839" width="9.140625" style="6"/>
    <col min="13840" max="13842" width="9.5703125" style="6" bestFit="1" customWidth="1"/>
    <col min="13843" max="13843" width="11.42578125" style="6" bestFit="1" customWidth="1"/>
    <col min="13844" max="13845" width="9.140625" style="6"/>
    <col min="13846" max="13846" width="10.28515625" style="6" bestFit="1" customWidth="1"/>
    <col min="13847" max="14080" width="9.140625" style="6"/>
    <col min="14081" max="14081" width="21" style="6" bestFit="1" customWidth="1"/>
    <col min="14082" max="14095" width="9.140625" style="6"/>
    <col min="14096" max="14098" width="9.5703125" style="6" bestFit="1" customWidth="1"/>
    <col min="14099" max="14099" width="11.42578125" style="6" bestFit="1" customWidth="1"/>
    <col min="14100" max="14101" width="9.140625" style="6"/>
    <col min="14102" max="14102" width="10.28515625" style="6" bestFit="1" customWidth="1"/>
    <col min="14103" max="14336" width="9.140625" style="6"/>
    <col min="14337" max="14337" width="21" style="6" bestFit="1" customWidth="1"/>
    <col min="14338" max="14351" width="9.140625" style="6"/>
    <col min="14352" max="14354" width="9.5703125" style="6" bestFit="1" customWidth="1"/>
    <col min="14355" max="14355" width="11.42578125" style="6" bestFit="1" customWidth="1"/>
    <col min="14356" max="14357" width="9.140625" style="6"/>
    <col min="14358" max="14358" width="10.28515625" style="6" bestFit="1" customWidth="1"/>
    <col min="14359" max="14592" width="9.140625" style="6"/>
    <col min="14593" max="14593" width="21" style="6" bestFit="1" customWidth="1"/>
    <col min="14594" max="14607" width="9.140625" style="6"/>
    <col min="14608" max="14610" width="9.5703125" style="6" bestFit="1" customWidth="1"/>
    <col min="14611" max="14611" width="11.42578125" style="6" bestFit="1" customWidth="1"/>
    <col min="14612" max="14613" width="9.140625" style="6"/>
    <col min="14614" max="14614" width="10.28515625" style="6" bestFit="1" customWidth="1"/>
    <col min="14615" max="14848" width="9.140625" style="6"/>
    <col min="14849" max="14849" width="21" style="6" bestFit="1" customWidth="1"/>
    <col min="14850" max="14863" width="9.140625" style="6"/>
    <col min="14864" max="14866" width="9.5703125" style="6" bestFit="1" customWidth="1"/>
    <col min="14867" max="14867" width="11.42578125" style="6" bestFit="1" customWidth="1"/>
    <col min="14868" max="14869" width="9.140625" style="6"/>
    <col min="14870" max="14870" width="10.28515625" style="6" bestFit="1" customWidth="1"/>
    <col min="14871" max="15104" width="9.140625" style="6"/>
    <col min="15105" max="15105" width="21" style="6" bestFit="1" customWidth="1"/>
    <col min="15106" max="15119" width="9.140625" style="6"/>
    <col min="15120" max="15122" width="9.5703125" style="6" bestFit="1" customWidth="1"/>
    <col min="15123" max="15123" width="11.42578125" style="6" bestFit="1" customWidth="1"/>
    <col min="15124" max="15125" width="9.140625" style="6"/>
    <col min="15126" max="15126" width="10.28515625" style="6" bestFit="1" customWidth="1"/>
    <col min="15127" max="15360" width="9.140625" style="6"/>
    <col min="15361" max="15361" width="21" style="6" bestFit="1" customWidth="1"/>
    <col min="15362" max="15375" width="9.140625" style="6"/>
    <col min="15376" max="15378" width="9.5703125" style="6" bestFit="1" customWidth="1"/>
    <col min="15379" max="15379" width="11.42578125" style="6" bestFit="1" customWidth="1"/>
    <col min="15380" max="15381" width="9.140625" style="6"/>
    <col min="15382" max="15382" width="10.28515625" style="6" bestFit="1" customWidth="1"/>
    <col min="15383" max="15616" width="9.140625" style="6"/>
    <col min="15617" max="15617" width="21" style="6" bestFit="1" customWidth="1"/>
    <col min="15618" max="15631" width="9.140625" style="6"/>
    <col min="15632" max="15634" width="9.5703125" style="6" bestFit="1" customWidth="1"/>
    <col min="15635" max="15635" width="11.42578125" style="6" bestFit="1" customWidth="1"/>
    <col min="15636" max="15637" width="9.140625" style="6"/>
    <col min="15638" max="15638" width="10.28515625" style="6" bestFit="1" customWidth="1"/>
    <col min="15639" max="15872" width="9.140625" style="6"/>
    <col min="15873" max="15873" width="21" style="6" bestFit="1" customWidth="1"/>
    <col min="15874" max="15887" width="9.140625" style="6"/>
    <col min="15888" max="15890" width="9.5703125" style="6" bestFit="1" customWidth="1"/>
    <col min="15891" max="15891" width="11.42578125" style="6" bestFit="1" customWidth="1"/>
    <col min="15892" max="15893" width="9.140625" style="6"/>
    <col min="15894" max="15894" width="10.28515625" style="6" bestFit="1" customWidth="1"/>
    <col min="15895" max="16128" width="9.140625" style="6"/>
    <col min="16129" max="16129" width="21" style="6" bestFit="1" customWidth="1"/>
    <col min="16130" max="16143" width="9.140625" style="6"/>
    <col min="16144" max="16146" width="9.5703125" style="6" bestFit="1" customWidth="1"/>
    <col min="16147" max="16147" width="11.42578125" style="6" bestFit="1" customWidth="1"/>
    <col min="16148" max="16149" width="9.140625" style="6"/>
    <col min="16150" max="16150" width="10.28515625" style="6" bestFit="1" customWidth="1"/>
    <col min="16151" max="16384" width="9.140625" style="6"/>
  </cols>
  <sheetData>
    <row r="1" spans="1:30" x14ac:dyDescent="0.2">
      <c r="C1" s="7">
        <v>35490</v>
      </c>
      <c r="D1" s="7">
        <v>35674</v>
      </c>
      <c r="E1" s="7">
        <v>36039</v>
      </c>
      <c r="F1" s="7">
        <v>36404</v>
      </c>
      <c r="G1" s="7">
        <v>36770</v>
      </c>
      <c r="H1" s="7">
        <v>37135</v>
      </c>
      <c r="I1" s="7">
        <v>37529</v>
      </c>
      <c r="J1" s="7">
        <v>37894</v>
      </c>
      <c r="K1" s="7">
        <v>38260</v>
      </c>
      <c r="L1" s="7">
        <v>38625</v>
      </c>
      <c r="M1" s="7">
        <v>38990</v>
      </c>
      <c r="N1" s="7">
        <v>39355</v>
      </c>
      <c r="O1" s="7">
        <v>39721</v>
      </c>
      <c r="P1" s="7">
        <v>40086</v>
      </c>
      <c r="Q1" s="7">
        <v>40451</v>
      </c>
      <c r="R1" s="7">
        <v>40816</v>
      </c>
      <c r="S1" s="7">
        <v>41162</v>
      </c>
      <c r="T1" s="7">
        <v>41518</v>
      </c>
      <c r="U1" s="7">
        <v>41883</v>
      </c>
      <c r="V1" s="7">
        <v>42248</v>
      </c>
      <c r="W1" s="7">
        <v>42614</v>
      </c>
      <c r="X1" s="7">
        <v>42979</v>
      </c>
      <c r="Y1" s="7">
        <v>43344</v>
      </c>
      <c r="Z1" s="7">
        <v>43709</v>
      </c>
    </row>
    <row r="2" spans="1:30" x14ac:dyDescent="0.2">
      <c r="A2" s="8" t="s">
        <v>7</v>
      </c>
      <c r="C2" s="9">
        <v>120.5</v>
      </c>
      <c r="D2" s="9">
        <v>119.7</v>
      </c>
      <c r="E2" s="9">
        <v>121.3</v>
      </c>
      <c r="F2" s="9">
        <v>123.4</v>
      </c>
      <c r="G2" s="9">
        <v>130.9</v>
      </c>
      <c r="H2" s="9">
        <v>134.19999999999999</v>
      </c>
      <c r="I2" s="9">
        <v>138.5</v>
      </c>
      <c r="J2" s="9">
        <v>142.1</v>
      </c>
      <c r="K2" s="9">
        <v>145.4</v>
      </c>
      <c r="L2" s="9">
        <v>149.80000000000001</v>
      </c>
      <c r="M2" s="9">
        <v>155.69999999999999</v>
      </c>
      <c r="N2" s="9">
        <v>158.6</v>
      </c>
      <c r="O2" s="9">
        <v>166.5</v>
      </c>
      <c r="P2" s="9">
        <v>168.6</v>
      </c>
      <c r="Q2" s="9">
        <v>173.3</v>
      </c>
      <c r="R2" s="9">
        <v>179.4</v>
      </c>
      <c r="S2" s="10">
        <v>182.99517599999999</v>
      </c>
      <c r="T2" s="10">
        <f>S2*1.02161100196463</f>
        <v>186.94988510805382</v>
      </c>
      <c r="U2" s="10">
        <f t="shared" ref="U2:Z2" si="0">T2*(1+U6)</f>
        <v>191.26411322593202</v>
      </c>
      <c r="V2" s="10">
        <f t="shared" si="0"/>
        <v>194.14026530451744</v>
      </c>
      <c r="W2" s="10">
        <f t="shared" si="0"/>
        <v>196.65632314286401</v>
      </c>
      <c r="X2" s="10">
        <f t="shared" si="0"/>
        <v>201.57273122143559</v>
      </c>
      <c r="Y2" s="10">
        <f t="shared" si="0"/>
        <v>206.61204950197146</v>
      </c>
      <c r="Z2" s="10">
        <f t="shared" si="0"/>
        <v>211.77735073952073</v>
      </c>
    </row>
    <row r="3" spans="1:30" x14ac:dyDescent="0.2">
      <c r="A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0" x14ac:dyDescent="0.2">
      <c r="A4" s="8"/>
      <c r="B4" s="11"/>
      <c r="C4" s="12"/>
      <c r="D4" s="12">
        <v>1998</v>
      </c>
      <c r="E4" s="12">
        <f>D4+1</f>
        <v>1999</v>
      </c>
      <c r="F4" s="12">
        <f t="shared" ref="F4:W4" si="1">E4+1</f>
        <v>2000</v>
      </c>
      <c r="G4" s="12">
        <f t="shared" si="1"/>
        <v>2001</v>
      </c>
      <c r="H4" s="12">
        <f t="shared" si="1"/>
        <v>2002</v>
      </c>
      <c r="I4" s="12">
        <f t="shared" si="1"/>
        <v>2003</v>
      </c>
      <c r="J4" s="12">
        <f t="shared" si="1"/>
        <v>2004</v>
      </c>
      <c r="K4" s="12">
        <f t="shared" si="1"/>
        <v>2005</v>
      </c>
      <c r="L4" s="12">
        <f t="shared" si="1"/>
        <v>2006</v>
      </c>
      <c r="M4" s="12">
        <f t="shared" si="1"/>
        <v>2007</v>
      </c>
      <c r="N4" s="12">
        <f t="shared" si="1"/>
        <v>2008</v>
      </c>
      <c r="O4" s="12">
        <f t="shared" si="1"/>
        <v>2009</v>
      </c>
      <c r="P4" s="12">
        <f t="shared" si="1"/>
        <v>2010</v>
      </c>
      <c r="Q4" s="12">
        <f t="shared" si="1"/>
        <v>2011</v>
      </c>
      <c r="R4" s="12">
        <f t="shared" si="1"/>
        <v>2012</v>
      </c>
      <c r="S4" s="12">
        <f t="shared" si="1"/>
        <v>2013</v>
      </c>
      <c r="T4" s="12">
        <f t="shared" si="1"/>
        <v>2014</v>
      </c>
      <c r="U4" s="12">
        <f t="shared" si="1"/>
        <v>2015</v>
      </c>
      <c r="V4" s="12">
        <f t="shared" si="1"/>
        <v>2016</v>
      </c>
      <c r="W4" s="12">
        <f t="shared" si="1"/>
        <v>2017</v>
      </c>
      <c r="X4" s="12">
        <f>W4+1</f>
        <v>2018</v>
      </c>
      <c r="Y4" s="12">
        <f>X4+1</f>
        <v>2019</v>
      </c>
      <c r="Z4" s="12">
        <f>Y4+1</f>
        <v>2020</v>
      </c>
      <c r="AC4" s="6" t="s">
        <v>8</v>
      </c>
      <c r="AD4" s="6">
        <v>108</v>
      </c>
    </row>
    <row r="5" spans="1:30" x14ac:dyDescent="0.2">
      <c r="A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C5" s="6" t="s">
        <v>9</v>
      </c>
      <c r="AD5" s="6">
        <v>106.4</v>
      </c>
    </row>
    <row r="6" spans="1:30" ht="15" x14ac:dyDescent="0.2">
      <c r="A6" s="8" t="s">
        <v>10</v>
      </c>
      <c r="C6" s="9"/>
      <c r="D6" s="13">
        <f>(D2/C2)-1</f>
        <v>-6.6390041493775698E-3</v>
      </c>
      <c r="E6" s="13">
        <f>(E2/D2)-1</f>
        <v>1.3366750208855471E-2</v>
      </c>
      <c r="F6" s="13">
        <f t="shared" ref="F6:P6" si="2">(F2/E2)-1</f>
        <v>1.7312448474855691E-2</v>
      </c>
      <c r="G6" s="13">
        <f t="shared" si="2"/>
        <v>6.0777957860615794E-2</v>
      </c>
      <c r="H6" s="13">
        <f t="shared" si="2"/>
        <v>2.5210084033613356E-2</v>
      </c>
      <c r="I6" s="13">
        <f t="shared" si="2"/>
        <v>3.2041728763040345E-2</v>
      </c>
      <c r="J6" s="13">
        <f t="shared" si="2"/>
        <v>2.5992779783393427E-2</v>
      </c>
      <c r="K6" s="13">
        <f t="shared" si="2"/>
        <v>2.3223082336382816E-2</v>
      </c>
      <c r="L6" s="13">
        <f t="shared" si="2"/>
        <v>3.0261348005502064E-2</v>
      </c>
      <c r="M6" s="13">
        <f t="shared" si="2"/>
        <v>3.9385847797062556E-2</v>
      </c>
      <c r="N6" s="13">
        <f t="shared" si="2"/>
        <v>1.862556197816323E-2</v>
      </c>
      <c r="O6" s="13">
        <f t="shared" si="2"/>
        <v>4.9810844892812067E-2</v>
      </c>
      <c r="P6" s="13">
        <f t="shared" si="2"/>
        <v>1.2612612612612484E-2</v>
      </c>
      <c r="Q6" s="13">
        <f>(Q2/P2)-1</f>
        <v>2.7876631079478242E-2</v>
      </c>
      <c r="R6" s="13">
        <f>(R2/Q2)-1</f>
        <v>3.5199076745527913E-2</v>
      </c>
      <c r="S6" s="13">
        <f>(S2/R2)-1</f>
        <v>2.0039999999999836E-2</v>
      </c>
      <c r="T6" s="13">
        <f>(T2/S2)-1</f>
        <v>2.1611001964630061E-2</v>
      </c>
      <c r="U6" s="13">
        <f>(106.4/104)-1</f>
        <v>2.3076923076923217E-2</v>
      </c>
      <c r="V6" s="13">
        <f>AD6-1</f>
        <v>1.5037593984962294E-2</v>
      </c>
      <c r="W6" s="14">
        <v>1.2959999999999999E-2</v>
      </c>
      <c r="X6" s="13">
        <v>2.5000000000000001E-2</v>
      </c>
      <c r="Y6" s="13">
        <v>2.5000000000000001E-2</v>
      </c>
      <c r="Z6" s="13">
        <v>2.5000000000000001E-2</v>
      </c>
      <c r="AD6" s="6">
        <f>AD4/AD5</f>
        <v>1.0150375939849623</v>
      </c>
    </row>
    <row r="7" spans="1:30" s="15" customFormat="1" x14ac:dyDescent="0.2">
      <c r="C7" s="16">
        <f>C2</f>
        <v>120.5</v>
      </c>
      <c r="D7" s="16">
        <f t="shared" ref="D7:Z7" si="3">D2</f>
        <v>119.7</v>
      </c>
      <c r="E7" s="16">
        <f t="shared" si="3"/>
        <v>121.3</v>
      </c>
      <c r="F7" s="16">
        <f t="shared" si="3"/>
        <v>123.4</v>
      </c>
      <c r="G7" s="16">
        <f t="shared" si="3"/>
        <v>130.9</v>
      </c>
      <c r="H7" s="16">
        <f t="shared" si="3"/>
        <v>134.19999999999999</v>
      </c>
      <c r="I7" s="16">
        <f t="shared" si="3"/>
        <v>138.5</v>
      </c>
      <c r="J7" s="16">
        <f t="shared" si="3"/>
        <v>142.1</v>
      </c>
      <c r="K7" s="16">
        <f t="shared" si="3"/>
        <v>145.4</v>
      </c>
      <c r="L7" s="16">
        <f t="shared" si="3"/>
        <v>149.80000000000001</v>
      </c>
      <c r="M7" s="16">
        <f t="shared" si="3"/>
        <v>155.69999999999999</v>
      </c>
      <c r="N7" s="16">
        <f t="shared" si="3"/>
        <v>158.6</v>
      </c>
      <c r="O7" s="16">
        <f t="shared" si="3"/>
        <v>166.5</v>
      </c>
      <c r="P7" s="16">
        <f t="shared" si="3"/>
        <v>168.6</v>
      </c>
      <c r="Q7" s="16">
        <f t="shared" si="3"/>
        <v>173.3</v>
      </c>
      <c r="R7" s="16">
        <f t="shared" si="3"/>
        <v>179.4</v>
      </c>
      <c r="S7" s="16">
        <f t="shared" si="3"/>
        <v>182.99517599999999</v>
      </c>
      <c r="T7" s="16">
        <f t="shared" si="3"/>
        <v>186.94988510805382</v>
      </c>
      <c r="U7" s="16">
        <f t="shared" si="3"/>
        <v>191.26411322593202</v>
      </c>
      <c r="V7" s="16">
        <f t="shared" si="3"/>
        <v>194.14026530451744</v>
      </c>
      <c r="W7" s="16">
        <f t="shared" si="3"/>
        <v>196.65632314286401</v>
      </c>
      <c r="X7" s="16">
        <f t="shared" si="3"/>
        <v>201.57273122143559</v>
      </c>
      <c r="Y7" s="16">
        <f t="shared" si="3"/>
        <v>206.61204950197146</v>
      </c>
      <c r="Z7" s="16">
        <f t="shared" si="3"/>
        <v>211.77735073952073</v>
      </c>
    </row>
    <row r="8" spans="1:30" x14ac:dyDescent="0.2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30" hidden="1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>
        <v>2008</v>
      </c>
      <c r="O9" s="12">
        <v>2009</v>
      </c>
      <c r="P9" s="12">
        <f t="shared" ref="P9" si="4">P4</f>
        <v>2010</v>
      </c>
      <c r="Q9" s="12">
        <f t="shared" ref="Q9:R9" si="5">P9+1</f>
        <v>2011</v>
      </c>
      <c r="R9" s="12">
        <f t="shared" si="5"/>
        <v>2012</v>
      </c>
      <c r="S9" s="12">
        <f>S4</f>
        <v>2013</v>
      </c>
      <c r="T9" s="12">
        <f t="shared" ref="T9:W9" si="6">S9+1</f>
        <v>2014</v>
      </c>
      <c r="U9" s="12">
        <f t="shared" si="6"/>
        <v>2015</v>
      </c>
      <c r="V9" s="12">
        <f t="shared" si="6"/>
        <v>2016</v>
      </c>
      <c r="W9" s="12">
        <f t="shared" si="6"/>
        <v>2017</v>
      </c>
      <c r="X9" s="12">
        <f>W9+1</f>
        <v>2018</v>
      </c>
    </row>
    <row r="10" spans="1:30" hidden="1" x14ac:dyDescent="0.2">
      <c r="A10" s="6" t="s">
        <v>11</v>
      </c>
      <c r="C10" s="9"/>
      <c r="D10" s="10">
        <f>$R$2/D$2</f>
        <v>1.4987468671679198</v>
      </c>
      <c r="E10" s="10">
        <f t="shared" ref="E10:Z10" si="7">$R$2/E$2</f>
        <v>1.4789777411376752</v>
      </c>
      <c r="F10" s="10">
        <f t="shared" si="7"/>
        <v>1.453808752025932</v>
      </c>
      <c r="G10" s="10">
        <f t="shared" si="7"/>
        <v>1.3705118411000763</v>
      </c>
      <c r="H10" s="10">
        <f t="shared" si="7"/>
        <v>1.3368107302533534</v>
      </c>
      <c r="I10" s="10">
        <f t="shared" si="7"/>
        <v>1.2953068592057762</v>
      </c>
      <c r="J10" s="10">
        <f t="shared" si="7"/>
        <v>1.262491203377903</v>
      </c>
      <c r="K10" s="10">
        <f t="shared" si="7"/>
        <v>1.2338376891334251</v>
      </c>
      <c r="L10" s="17">
        <f t="shared" si="7"/>
        <v>1.1975967957276368</v>
      </c>
      <c r="M10" s="17">
        <f t="shared" si="7"/>
        <v>1.1522157996146436</v>
      </c>
      <c r="N10" s="18">
        <f>$R$2/N$2</f>
        <v>1.1311475409836067</v>
      </c>
      <c r="O10" s="18">
        <f t="shared" si="7"/>
        <v>1.0774774774774776</v>
      </c>
      <c r="P10" s="18">
        <f t="shared" si="7"/>
        <v>1.0640569395017794</v>
      </c>
      <c r="Q10" s="18">
        <f t="shared" si="7"/>
        <v>1.0351990767455279</v>
      </c>
      <c r="R10" s="18">
        <f t="shared" si="7"/>
        <v>1</v>
      </c>
      <c r="S10" s="19">
        <f t="shared" si="7"/>
        <v>0.9803537116191523</v>
      </c>
      <c r="T10" s="19">
        <f t="shared" si="7"/>
        <v>0.95961546002721476</v>
      </c>
      <c r="U10" s="19">
        <f t="shared" si="7"/>
        <v>0.93796999852284124</v>
      </c>
      <c r="V10" s="19">
        <f t="shared" si="7"/>
        <v>0.92407414669287335</v>
      </c>
      <c r="W10" s="19">
        <f t="shared" si="7"/>
        <v>0.91225136895126491</v>
      </c>
      <c r="X10" s="20">
        <f t="shared" si="7"/>
        <v>0.89000133556220973</v>
      </c>
      <c r="Y10" s="20">
        <f t="shared" si="7"/>
        <v>0.86829398591435103</v>
      </c>
      <c r="Z10" s="20">
        <f t="shared" si="7"/>
        <v>0.84711608381887915</v>
      </c>
    </row>
    <row r="11" spans="1:30" hidden="1" x14ac:dyDescent="0.2">
      <c r="C11" s="9"/>
      <c r="D11" s="10"/>
      <c r="E11" s="10"/>
      <c r="F11" s="10"/>
      <c r="G11" s="10"/>
      <c r="H11" s="10"/>
      <c r="I11" s="10"/>
      <c r="J11" s="10"/>
      <c r="K11" s="10"/>
      <c r="L11" s="17"/>
      <c r="M11" s="17"/>
      <c r="N11" s="18"/>
      <c r="O11" s="18"/>
      <c r="P11" s="18"/>
      <c r="Q11" s="18"/>
      <c r="R11" s="18"/>
      <c r="S11" s="21"/>
      <c r="T11" s="21"/>
      <c r="U11" s="21"/>
      <c r="V11" s="21"/>
      <c r="W11" s="21"/>
      <c r="X11" s="22"/>
      <c r="Y11" s="22"/>
      <c r="Z11" s="22"/>
    </row>
    <row r="12" spans="1:30" hidden="1" x14ac:dyDescent="0.2">
      <c r="A12" s="6" t="s">
        <v>12</v>
      </c>
      <c r="N12" s="23">
        <f>1/N10</f>
        <v>0.88405797101449268</v>
      </c>
      <c r="O12" s="23">
        <f t="shared" ref="O12:R12" si="8">1/O10</f>
        <v>0.92809364548494977</v>
      </c>
      <c r="P12" s="23">
        <f t="shared" si="8"/>
        <v>0.93979933110367897</v>
      </c>
      <c r="Q12" s="23">
        <f t="shared" si="8"/>
        <v>0.96599777034559653</v>
      </c>
      <c r="R12" s="23">
        <f t="shared" si="8"/>
        <v>1</v>
      </c>
      <c r="S12" s="21">
        <f>1/S10</f>
        <v>1.0200399999999998</v>
      </c>
      <c r="T12" s="21">
        <f t="shared" ref="T12:Y12" si="9">1/T10</f>
        <v>1.0420840864440011</v>
      </c>
      <c r="U12" s="21">
        <f t="shared" si="9"/>
        <v>1.0661321807465554</v>
      </c>
      <c r="V12" s="21">
        <f t="shared" si="9"/>
        <v>1.0821642436149244</v>
      </c>
      <c r="W12" s="21">
        <f t="shared" si="9"/>
        <v>1.096189092212174</v>
      </c>
      <c r="X12" s="22">
        <f t="shared" si="9"/>
        <v>1.1235938195174782</v>
      </c>
      <c r="Y12" s="22">
        <f t="shared" si="9"/>
        <v>1.151683665005415</v>
      </c>
      <c r="Z12" s="22">
        <f>1/Z10</f>
        <v>1.1804757566305502</v>
      </c>
    </row>
    <row r="13" spans="1:30" hidden="1" x14ac:dyDescent="0.2"/>
    <row r="14" spans="1:30" hidden="1" x14ac:dyDescent="0.2">
      <c r="A14" s="6" t="s">
        <v>13</v>
      </c>
      <c r="L14" s="6">
        <f>L2/$L$2</f>
        <v>1</v>
      </c>
      <c r="M14" s="6">
        <f>N2/$L$2</f>
        <v>1.0587449933244324</v>
      </c>
      <c r="N14" s="6">
        <f>O2/$L$2</f>
        <v>1.1114819759679573</v>
      </c>
      <c r="O14" s="6">
        <f>P2/$L$2</f>
        <v>1.1255006675567423</v>
      </c>
      <c r="P14" s="6">
        <f>Q2/$L$2</f>
        <v>1.1568758344459278</v>
      </c>
      <c r="Q14" s="6">
        <f t="shared" ref="Q14:Z14" si="10">R2/$L$2</f>
        <v>1.1975967957276368</v>
      </c>
      <c r="R14" s="6">
        <f t="shared" si="10"/>
        <v>1.2215966355140184</v>
      </c>
      <c r="S14" s="6">
        <f t="shared" si="10"/>
        <v>1.2479965628040974</v>
      </c>
      <c r="T14" s="6">
        <f t="shared" si="10"/>
        <v>1.2767964834841923</v>
      </c>
      <c r="U14" s="6">
        <f t="shared" si="10"/>
        <v>1.2959964306042553</v>
      </c>
      <c r="V14" s="6">
        <f t="shared" si="10"/>
        <v>1.3127925443448865</v>
      </c>
      <c r="W14" s="6">
        <f t="shared" si="10"/>
        <v>1.3456123579535084</v>
      </c>
      <c r="X14" s="6">
        <f t="shared" si="10"/>
        <v>1.3792526669023462</v>
      </c>
      <c r="Y14" s="6">
        <f t="shared" si="10"/>
        <v>1.4137339835749045</v>
      </c>
      <c r="Z14" s="6">
        <f t="shared" si="10"/>
        <v>0</v>
      </c>
    </row>
    <row r="15" spans="1:30" hidden="1" x14ac:dyDescent="0.2"/>
    <row r="16" spans="1:30" hidden="1" x14ac:dyDescent="0.2">
      <c r="A16" s="6" t="s">
        <v>14</v>
      </c>
      <c r="L16" s="6">
        <f>1/L14</f>
        <v>1</v>
      </c>
      <c r="M16" s="6">
        <f t="shared" ref="M16:Z16" si="11">1/M14</f>
        <v>0.94451450189155128</v>
      </c>
      <c r="N16" s="6">
        <f t="shared" si="11"/>
        <v>0.89969969969969965</v>
      </c>
      <c r="O16" s="6">
        <f t="shared" si="11"/>
        <v>0.88849347568208781</v>
      </c>
      <c r="P16" s="6">
        <f t="shared" si="11"/>
        <v>0.86439699942296599</v>
      </c>
      <c r="Q16" s="6">
        <f t="shared" si="11"/>
        <v>0.83500557413600895</v>
      </c>
      <c r="R16" s="6">
        <f t="shared" si="11"/>
        <v>0.81860081382691763</v>
      </c>
      <c r="S16" s="6">
        <f t="shared" si="11"/>
        <v>0.80128425814981485</v>
      </c>
      <c r="T16" s="6">
        <f t="shared" si="11"/>
        <v>0.78321017713891661</v>
      </c>
      <c r="U16" s="6">
        <f t="shared" si="11"/>
        <v>0.77160706340352525</v>
      </c>
      <c r="V16" s="6">
        <f t="shared" si="11"/>
        <v>0.76173497808751112</v>
      </c>
      <c r="W16" s="6">
        <f t="shared" si="11"/>
        <v>0.74315607618293777</v>
      </c>
      <c r="X16" s="6">
        <f t="shared" si="11"/>
        <v>0.72503031822725628</v>
      </c>
      <c r="Y16" s="6">
        <f t="shared" si="11"/>
        <v>0.70734665192903068</v>
      </c>
      <c r="Z16" s="6" t="e">
        <f t="shared" si="11"/>
        <v>#DIV/0!</v>
      </c>
    </row>
    <row r="17" spans="1:26" hidden="1" x14ac:dyDescent="0.2"/>
    <row r="18" spans="1:26" hidden="1" x14ac:dyDescent="0.2"/>
    <row r="19" spans="1:26" ht="15.75" hidden="1" thickBot="1" x14ac:dyDescent="0.3">
      <c r="M19" s="24" t="s">
        <v>15</v>
      </c>
      <c r="N19" s="25">
        <v>142.95398754671282</v>
      </c>
      <c r="O19" s="25">
        <v>144.06487285804457</v>
      </c>
      <c r="P19" s="25">
        <v>145.60211406544803</v>
      </c>
      <c r="Q19" s="25">
        <v>147.09727348351035</v>
      </c>
      <c r="R19" s="25">
        <v>148.11444263865468</v>
      </c>
      <c r="S19" s="26">
        <v>727.83269059237045</v>
      </c>
    </row>
    <row r="20" spans="1:26" hidden="1" x14ac:dyDescent="0.2">
      <c r="M20" s="24" t="s">
        <v>16</v>
      </c>
      <c r="N20" s="27">
        <f>N19*M14</f>
        <v>151.35181859084545</v>
      </c>
      <c r="O20" s="27">
        <f t="shared" ref="O20:R20" si="12">O19*N14</f>
        <v>160.12550955183193</v>
      </c>
      <c r="P20" s="27">
        <f t="shared" si="12"/>
        <v>163.87527657833471</v>
      </c>
      <c r="Q20" s="27">
        <f t="shared" si="12"/>
        <v>170.17328100595688</v>
      </c>
      <c r="R20" s="27">
        <f t="shared" si="12"/>
        <v>177.3813819050377</v>
      </c>
      <c r="S20" s="27">
        <f>SUM(N20:R20)</f>
        <v>822.90726763200655</v>
      </c>
    </row>
    <row r="21" spans="1:26" hidden="1" x14ac:dyDescent="0.2"/>
    <row r="22" spans="1:26" hidden="1" x14ac:dyDescent="0.2"/>
    <row r="23" spans="1:26" ht="13.5" hidden="1" thickBot="1" x14ac:dyDescent="0.25">
      <c r="M23" s="6" t="s">
        <v>17</v>
      </c>
      <c r="N23" s="28">
        <v>153.06293859158453</v>
      </c>
      <c r="O23" s="28">
        <v>154.25237984543625</v>
      </c>
      <c r="P23" s="28">
        <v>155.89832663270141</v>
      </c>
      <c r="Q23" s="28">
        <v>157.49921582872133</v>
      </c>
      <c r="R23" s="28">
        <v>158.58831381474445</v>
      </c>
      <c r="S23" s="29">
        <f>SUM(N23:R23)</f>
        <v>779.30117471318795</v>
      </c>
    </row>
    <row r="24" spans="1:26" hidden="1" x14ac:dyDescent="0.2">
      <c r="M24" s="6" t="s">
        <v>16</v>
      </c>
      <c r="N24" s="30">
        <f>N23*M14</f>
        <v>162.05461989736517</v>
      </c>
      <c r="O24" s="30">
        <f t="shared" ref="O24:R24" si="13">O23*N14</f>
        <v>171.44873994836539</v>
      </c>
      <c r="P24" s="30">
        <f t="shared" si="13"/>
        <v>175.46367069608451</v>
      </c>
      <c r="Q24" s="30">
        <f t="shared" si="13"/>
        <v>182.20703673643126</v>
      </c>
      <c r="R24" s="30">
        <f t="shared" si="13"/>
        <v>189.92485646438686</v>
      </c>
      <c r="S24" s="31">
        <f>SUM(N24:R24)</f>
        <v>881.09892374263313</v>
      </c>
    </row>
    <row r="25" spans="1:26" hidden="1" x14ac:dyDescent="0.2"/>
    <row r="26" spans="1:26" hidden="1" x14ac:dyDescent="0.2"/>
    <row r="27" spans="1:26" hidden="1" x14ac:dyDescent="0.2"/>
    <row r="28" spans="1:26" ht="15" hidden="1" x14ac:dyDescent="0.25">
      <c r="N28" s="32">
        <v>161.39416187050034</v>
      </c>
      <c r="O28" s="33">
        <v>171.57536936582997</v>
      </c>
      <c r="P28" s="33">
        <v>175.59326548000138</v>
      </c>
      <c r="Q28" s="34">
        <v>182.34161206738335</v>
      </c>
      <c r="R28" s="34">
        <v>190.06513205896621</v>
      </c>
      <c r="S28" s="35">
        <f>SUM(N28:R28)</f>
        <v>880.96954084268134</v>
      </c>
    </row>
    <row r="29" spans="1:26" hidden="1" x14ac:dyDescent="0.2"/>
    <row r="30" spans="1:26" hidden="1" x14ac:dyDescent="0.2"/>
    <row r="31" spans="1:26" x14ac:dyDescent="0.2">
      <c r="B31" s="11" t="s">
        <v>18</v>
      </c>
    </row>
    <row r="32" spans="1:26" x14ac:dyDescent="0.2">
      <c r="A32" s="6" t="s">
        <v>19</v>
      </c>
      <c r="B32" s="36">
        <v>2016</v>
      </c>
      <c r="D32" s="37">
        <f t="shared" ref="D32:Z32" si="14">HLOOKUP($B$32, $C$4:$Z$7, 4)/D$2</f>
        <v>1.6218902698790094</v>
      </c>
      <c r="E32" s="37">
        <f t="shared" si="14"/>
        <v>1.6004968285615617</v>
      </c>
      <c r="F32" s="37">
        <f t="shared" si="14"/>
        <v>1.5732598484968998</v>
      </c>
      <c r="G32" s="37">
        <f t="shared" si="14"/>
        <v>1.4831189098893616</v>
      </c>
      <c r="H32" s="37">
        <f t="shared" si="14"/>
        <v>1.446648772760935</v>
      </c>
      <c r="I32" s="37">
        <f t="shared" si="14"/>
        <v>1.4017347675416423</v>
      </c>
      <c r="J32" s="37">
        <f t="shared" si="14"/>
        <v>1.3662228381739441</v>
      </c>
      <c r="K32" s="37">
        <f t="shared" si="14"/>
        <v>1.3352150296046592</v>
      </c>
      <c r="L32" s="37">
        <f t="shared" si="14"/>
        <v>1.2959964306042553</v>
      </c>
      <c r="M32" s="37">
        <f t="shared" si="14"/>
        <v>1.2468867392711462</v>
      </c>
      <c r="N32" s="37">
        <f t="shared" si="14"/>
        <v>1.2240874231054064</v>
      </c>
      <c r="O32" s="37">
        <f t="shared" si="14"/>
        <v>1.1660075994265311</v>
      </c>
      <c r="P32" s="37">
        <f t="shared" si="14"/>
        <v>1.1514843730991544</v>
      </c>
      <c r="Q32" s="37">
        <f t="shared" si="14"/>
        <v>1.1202554258771924</v>
      </c>
      <c r="R32" s="37">
        <f t="shared" si="14"/>
        <v>1.0821642436149244</v>
      </c>
      <c r="S32" s="37">
        <f t="shared" si="14"/>
        <v>1.0609037328094237</v>
      </c>
      <c r="T32" s="37">
        <f t="shared" si="14"/>
        <v>1.0384615384615385</v>
      </c>
      <c r="U32" s="37">
        <f t="shared" si="14"/>
        <v>1.0150375939849623</v>
      </c>
      <c r="V32" s="37">
        <f t="shared" si="14"/>
        <v>1</v>
      </c>
      <c r="W32" s="37">
        <f t="shared" si="14"/>
        <v>0.98720581266782492</v>
      </c>
      <c r="X32" s="37">
        <f t="shared" si="14"/>
        <v>0.96312762211495118</v>
      </c>
      <c r="Y32" s="37">
        <f t="shared" si="14"/>
        <v>0.93963670450239156</v>
      </c>
      <c r="Z32" s="37">
        <f t="shared" si="14"/>
        <v>0.91671873609989418</v>
      </c>
    </row>
    <row r="33" spans="1:26" x14ac:dyDescent="0.2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">
      <c r="A34" s="6" t="s">
        <v>20</v>
      </c>
      <c r="B34" s="6">
        <f>B32</f>
        <v>2016</v>
      </c>
      <c r="D34" s="37">
        <f>1/D32</f>
        <v>0.61656452262618144</v>
      </c>
      <c r="E34" s="37">
        <f t="shared" ref="E34:Z34" si="15">1/E32</f>
        <v>0.62480598658776776</v>
      </c>
      <c r="F34" s="37">
        <f t="shared" si="15"/>
        <v>0.63562290803734989</v>
      </c>
      <c r="G34" s="37">
        <f t="shared" si="15"/>
        <v>0.67425477035728609</v>
      </c>
      <c r="H34" s="37">
        <f t="shared" si="15"/>
        <v>0.69125278977805793</v>
      </c>
      <c r="I34" s="37">
        <f t="shared" si="15"/>
        <v>0.71340172417482139</v>
      </c>
      <c r="J34" s="37">
        <f t="shared" si="15"/>
        <v>0.73194501808839074</v>
      </c>
      <c r="K34" s="37">
        <f t="shared" si="15"/>
        <v>0.74894303750916269</v>
      </c>
      <c r="L34" s="37">
        <f t="shared" si="15"/>
        <v>0.77160706340352525</v>
      </c>
      <c r="M34" s="37">
        <f t="shared" si="15"/>
        <v>0.80199746176187492</v>
      </c>
      <c r="N34" s="37">
        <f t="shared" si="15"/>
        <v>0.81693511519225026</v>
      </c>
      <c r="O34" s="37">
        <f t="shared" si="15"/>
        <v>0.85762734350258318</v>
      </c>
      <c r="P34" s="37">
        <f t="shared" si="15"/>
        <v>0.86844426495216531</v>
      </c>
      <c r="Q34" s="37">
        <f t="shared" si="15"/>
        <v>0.89265356533932527</v>
      </c>
      <c r="R34" s="37">
        <f t="shared" si="15"/>
        <v>0.92407414669287335</v>
      </c>
      <c r="S34" s="37">
        <f t="shared" si="15"/>
        <v>0.94259259259259842</v>
      </c>
      <c r="T34" s="37">
        <f t="shared" si="15"/>
        <v>0.96296296296296291</v>
      </c>
      <c r="U34" s="37">
        <f t="shared" si="15"/>
        <v>0.98518518518518527</v>
      </c>
      <c r="V34" s="37">
        <f t="shared" si="15"/>
        <v>1</v>
      </c>
      <c r="W34" s="37">
        <f t="shared" si="15"/>
        <v>1.0129600000000001</v>
      </c>
      <c r="X34" s="37">
        <f t="shared" si="15"/>
        <v>1.038284</v>
      </c>
      <c r="Y34" s="37">
        <f t="shared" si="15"/>
        <v>1.0642410999999998</v>
      </c>
      <c r="Z34" s="37">
        <f t="shared" si="15"/>
        <v>1.0908471274999998</v>
      </c>
    </row>
    <row r="35" spans="1:26" x14ac:dyDescent="0.2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">
      <c r="B36" s="11" t="s">
        <v>21</v>
      </c>
      <c r="C36" s="11" t="s">
        <v>22</v>
      </c>
    </row>
    <row r="37" spans="1:26" x14ac:dyDescent="0.2">
      <c r="A37" s="6" t="s">
        <v>23</v>
      </c>
      <c r="B37" s="38">
        <v>2006</v>
      </c>
      <c r="C37" s="36">
        <v>2016</v>
      </c>
      <c r="D37" s="39">
        <f>HLOOKUP($C$37, $C$4:$Z$7, 4)/HLOOKUP($B$37, $C$4:$Z$7, 4)</f>
        <v>1.2959964306042553</v>
      </c>
    </row>
    <row r="39" spans="1:26" x14ac:dyDescent="0.2">
      <c r="A39" s="6" t="s">
        <v>41</v>
      </c>
      <c r="D39" s="6">
        <f>Q7/D7</f>
        <v>1.4477861319966583</v>
      </c>
      <c r="U39" s="40"/>
    </row>
    <row r="41" spans="1:26" x14ac:dyDescent="0.2">
      <c r="J41" s="6">
        <f>W7/R7</f>
        <v>1.096189092212174</v>
      </c>
    </row>
    <row r="42" spans="1:26" x14ac:dyDescent="0.2">
      <c r="A42" s="6" t="s">
        <v>45</v>
      </c>
      <c r="D42" s="6">
        <f>W7/R7</f>
        <v>1.096189092212174</v>
      </c>
    </row>
    <row r="48" spans="1:26" x14ac:dyDescent="0.2">
      <c r="F48" s="41"/>
      <c r="G48" s="41"/>
      <c r="H48" s="41"/>
      <c r="I48" s="41"/>
      <c r="J48" s="41"/>
      <c r="K48" s="41"/>
    </row>
    <row r="56" spans="6:11" x14ac:dyDescent="0.2">
      <c r="F56" s="15"/>
      <c r="G56" s="15"/>
      <c r="H56" s="15"/>
      <c r="I56" s="15"/>
      <c r="J56" s="15"/>
      <c r="K56" s="15"/>
    </row>
    <row r="57" spans="6:11" x14ac:dyDescent="0.2">
      <c r="F57" s="15"/>
      <c r="G57" s="15"/>
      <c r="H57" s="15"/>
      <c r="I57" s="15"/>
      <c r="J57" s="15"/>
      <c r="K57" s="15"/>
    </row>
    <row r="63" spans="6:11" x14ac:dyDescent="0.2">
      <c r="F63" s="41"/>
      <c r="G63" s="41"/>
      <c r="H63" s="41"/>
      <c r="I63" s="41"/>
      <c r="J63" s="41"/>
      <c r="K63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 Total Write down</vt:lpstr>
      <vt:lpstr>Economic Assumptions</vt:lpstr>
    </vt:vector>
  </TitlesOfParts>
  <Company>United Energy Distribution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Hutchinson, Ben</dc:creator>
  <cp:lastModifiedBy>Schille, Andrew</cp:lastModifiedBy>
  <dcterms:created xsi:type="dcterms:W3CDTF">2016-07-22T01:37:55Z</dcterms:created>
  <dcterms:modified xsi:type="dcterms:W3CDTF">2016-11-28T04:43:34Z</dcterms:modified>
</cp:coreProperties>
</file>