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ulation\03. Multinet\22.22.03 2018 GAAR\Models\PTRM &amp; RFM\PTRM Scenarios\Models for submission final\"/>
    </mc:Choice>
  </mc:AlternateContent>
  <bookViews>
    <workbookView xWindow="0" yWindow="0" windowWidth="28800" windowHeight="10485"/>
  </bookViews>
  <sheets>
    <sheet name="ECM" sheetId="11" r:id="rId1"/>
    <sheet name="Calc|Opex Forecast" sheetId="6" r:id="rId2"/>
    <sheet name="Summary" sheetId="10" r:id="rId3"/>
    <sheet name="Rate of change" sheetId="2" r:id="rId4"/>
    <sheet name="Base Year - establishing" sheetId="7" r:id="rId5"/>
    <sheet name="Diff. between 2016 &amp; 2017" sheetId="8" r:id="rId6"/>
    <sheet name="BIS labour Real Cost Escalators" sheetId="4" r:id="rId7"/>
    <sheet name="Outout Growth - scenarios" sheetId="3" r:id="rId8"/>
    <sheet name="Economic Assumptions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6">'BIS labour Real Cost Escalators'!$D$28</definedName>
    <definedName name="_ftnref1" localSheetId="6">'BIS labour Real Cost Escalators'!$D$20</definedName>
    <definedName name="_Order1" hidden="1">255</definedName>
    <definedName name="_Order2" hidden="1">255</definedName>
    <definedName name="_Ref462310608" localSheetId="6">'BIS labour Real Cost Escalators'!$D$20</definedName>
    <definedName name="a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scount" hidden="1">1</definedName>
    <definedName name="aria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A_Alt_Chks" hidden="1">#REF!</definedName>
    <definedName name="BA_Err_Chks" hidden="1">#REF!</definedName>
    <definedName name="BA_LU" hidden="1">#REF!</definedName>
    <definedName name="BA_Sens_Chks" hidden="1">#REF!</definedName>
    <definedName name="BA_TS_Ass" hidden="1">#REF!</definedName>
    <definedName name="CRCP_y1">'[5]Business &amp; other details'!$C$38</definedName>
    <definedName name="CRCP_y2">'[5]Business &amp; other details'!$D$38</definedName>
    <definedName name="CRCP_y3">'[5]Business &amp; other details'!$E$38</definedName>
    <definedName name="CRCP_y4">'[5]Business &amp; other details'!$F$38</definedName>
    <definedName name="CRCP_y5">'[5]Business &amp; other details'!$G$38</definedName>
    <definedName name="dms_DollarReal">'[5]Business &amp; other details'!$C$63</definedName>
    <definedName name="dms_Reg_Year_Span">'[5]Business &amp; other details'!$B$3</definedName>
    <definedName name="Err_Chk_1_Hdg" hidden="1">[1]AllocAssum_BA!$B$1</definedName>
    <definedName name="Err_Chk_10_Hdg" hidden="1">[1]FTEAssum_TA!$B$1</definedName>
    <definedName name="Err_Chk_11_Hdg" hidden="1">[1]FTEAssum_TA!$B$1</definedName>
    <definedName name="Err_Chk_12_Hdg" hidden="1">[1]FTE_Summary_TO!$B$1</definedName>
    <definedName name="Err_Chk_13_Hdg" hidden="1">'[1]UED Capex-Cal Yr'!$B$1</definedName>
    <definedName name="Err_Chk_14_Hdg" hidden="1">'[1]UED Capex-Fin Yr'!$B$1</definedName>
    <definedName name="Err_Chk_15_Hdg" hidden="1">'[1]UED Capex-Qtr'!$B$1</definedName>
    <definedName name="Err_Chk_16_Hdg" hidden="1">'[1]UED Capex-Month'!$B$1</definedName>
    <definedName name="Err_Chk_17_Hdg" hidden="1">'[1]UED Balance Sheet-Month'!$B$1</definedName>
    <definedName name="Err_Chk_18_Hdg" hidden="1">'[1]MGH Capex-Cal Yr'!$B$1</definedName>
    <definedName name="Err_Chk_19_Hdg" hidden="1">'[1]MGH Capex-Fin Yr'!$B$1</definedName>
    <definedName name="Err_Chk_2_Hdg" hidden="1">[1]FTEAssum_TA!$B$1</definedName>
    <definedName name="Err_Chk_20_Hdg" hidden="1">'[1]MGH Capex-Qtr'!$B$1</definedName>
    <definedName name="Err_Chk_21_Hdg" hidden="1">'[1]MGH Capex-Month'!$B$1</definedName>
    <definedName name="Err_Chk_22_Hdg" hidden="1">'[1]MGH Balance Sheet-Month'!$B$1</definedName>
    <definedName name="Err_Chk_23_Hdg" hidden="1">'[1]UED Sum by Function'!$B$1</definedName>
    <definedName name="Err_Chk_24_Hdg" hidden="1">'[1]UED Sum by Function'!$B$1</definedName>
    <definedName name="Err_Chk_25_Hdg" hidden="1">'[1]UED Sum by Account'!$B$1</definedName>
    <definedName name="Err_Chk_26_Hdg" hidden="1">'[1]MGH Sum by Function'!$B$1</definedName>
    <definedName name="Err_Chk_27_Hdg" hidden="1">'[1]MGH Sum by Function'!$B$1</definedName>
    <definedName name="Err_Chk_28_Hdg" hidden="1">'[1]MGH Sum by Account'!$B$1</definedName>
    <definedName name="Err_Chk_29_Hdg" hidden="1">'[1]AD Report'!$B$1</definedName>
    <definedName name="Err_Chk_3_Hdg" hidden="1">[1]FTEAssum_TA!$B$1</definedName>
    <definedName name="Err_Chk_30_Hdg" hidden="1">'[1]CEM Report'!$B$1</definedName>
    <definedName name="Err_Chk_31_Hdg" hidden="1">'[1]CEO Report'!$B$1</definedName>
    <definedName name="Err_Chk_32_Hdg" hidden="1">'[1]CMM Report'!$B$1</definedName>
    <definedName name="Err_Chk_33_Hdg" hidden="1">'[1]COM Report'!$B$1</definedName>
    <definedName name="Err_Chk_34_Hdg" hidden="1">'[1]FIN Report'!$B$1</definedName>
    <definedName name="Err_Chk_35_Hdg" hidden="1">'[1]HR Report'!$B$1</definedName>
    <definedName name="Err_Chk_36_Hdg" hidden="1">'[1]IT Report'!$B$1</definedName>
    <definedName name="Err_Chk_37_Hdg" hidden="1">'[1]NIT Report'!$B$1</definedName>
    <definedName name="Err_Chk_38_Hdg" hidden="1">'[1]OHS Report'!$B$1</definedName>
    <definedName name="Err_Chk_39_Hdg" hidden="1">'[1]REG Report'!$B$1</definedName>
    <definedName name="Err_Chk_4_Hdg" hidden="1">[1]AllocAssum_BA!$B$1</definedName>
    <definedName name="Err_Chk_40_Hdg" hidden="1">'[1]RISK Report'!$B$1</definedName>
    <definedName name="Err_Chk_41_Hdg" hidden="1">'[1]SDN Report'!$B$1</definedName>
    <definedName name="Err_Chk_42_Hdg" hidden="1">'[1]SDS Report'!$B$1</definedName>
    <definedName name="Err_Chk_5_Hdg" hidden="1">[1]AllocAssum_BA!$B$1</definedName>
    <definedName name="Err_Chk_6_Hdg" hidden="1">[1]AllocAssum_BA!$B$1</definedName>
    <definedName name="Err_Chk_7_Hdg" hidden="1">[1]FTEAssum_TA!$B$1</definedName>
    <definedName name="Err_Chk_8_Hdg" hidden="1">[1]FTEAssum_TA!$B$1</definedName>
    <definedName name="Err_Chk_9_Hdg" hidden="1">[1]FTEAssum_TA!$B$1</definedName>
    <definedName name="fas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RCP">'[5]Business &amp; other details'!$C$35:$G$35</definedName>
    <definedName name="HL_Err_Chk_1" hidden="1">[1]AllocAssum_BA!$F$37</definedName>
    <definedName name="HL_Err_Chk_10" hidden="1">[1]FTEAssum_TA!$G$1064</definedName>
    <definedName name="HL_Err_Chk_11" hidden="1">[1]FTEAssum_TA!$G$1274</definedName>
    <definedName name="HL_Err_Chk_12" hidden="1">[1]FTE_Summary_TO!$I$123</definedName>
    <definedName name="HL_Err_Chk_13" hidden="1">'[1]UED Capex-Cal Yr'!$F$87</definedName>
    <definedName name="HL_Err_Chk_14" hidden="1">'[1]UED Capex-Fin Yr'!$F$87</definedName>
    <definedName name="HL_Err_Chk_15" hidden="1">'[1]UED Capex-Qtr'!$F$87</definedName>
    <definedName name="HL_Err_Chk_16" hidden="1">'[1]UED Capex-Month'!$F$96</definedName>
    <definedName name="HL_Err_Chk_17" hidden="1">'[1]UED Balance Sheet-Month'!$F$90</definedName>
    <definedName name="HL_Err_Chk_18" hidden="1">'[1]MGH Capex-Cal Yr'!$F$69</definedName>
    <definedName name="HL_Err_Chk_19" hidden="1">'[1]MGH Capex-Fin Yr'!$F$69</definedName>
    <definedName name="HL_Err_Chk_2" hidden="1">[1]FTEAssum_TA!$K$224</definedName>
    <definedName name="HL_Err_Chk_20" hidden="1">'[1]MGH Capex-Qtr'!$F$69</definedName>
    <definedName name="HL_Err_Chk_21" hidden="1">'[1]MGH Capex-Month'!$F$78</definedName>
    <definedName name="HL_Err_Chk_22" hidden="1">'[1]MGH Balance Sheet-Month'!$F$70</definedName>
    <definedName name="HL_Err_Chk_23" hidden="1">'[1]UED Sum by Function'!$F$170</definedName>
    <definedName name="HL_Err_Chk_24" hidden="1">'[1]UED Sum by Function'!$F$171</definedName>
    <definedName name="HL_Err_Chk_25" hidden="1">'[1]UED Sum by Account'!$F$155</definedName>
    <definedName name="HL_Err_Chk_26" hidden="1">'[1]MGH Sum by Function'!$F$166</definedName>
    <definedName name="HL_Err_Chk_27" hidden="1">'[1]MGH Sum by Function'!$F$167</definedName>
    <definedName name="HL_Err_Chk_28" hidden="1">'[1]MGH Sum by Account'!$F$154</definedName>
    <definedName name="HL_Err_Chk_29" hidden="1">'[1]AD Report'!$P$420</definedName>
    <definedName name="HL_Err_Chk_3" hidden="1">[1]FTEAssum_TA!$G$224</definedName>
    <definedName name="HL_Err_Chk_30" hidden="1">'[1]CEM Report'!$G$255</definedName>
    <definedName name="HL_Err_Chk_31" hidden="1">'[1]CEO Report'!$G$255</definedName>
    <definedName name="HL_Err_Chk_32" hidden="1">'[1]CMM Report'!$G$255</definedName>
    <definedName name="HL_Err_Chk_33" hidden="1">'[1]COM Report'!$G$255</definedName>
    <definedName name="HL_Err_Chk_34" hidden="1">'[1]FIN Report'!$G$255</definedName>
    <definedName name="HL_Err_Chk_35" hidden="1">'[1]HR Report'!$G$237</definedName>
    <definedName name="HL_Err_Chk_36" hidden="1">'[1]IT Report'!$G$237</definedName>
    <definedName name="HL_Err_Chk_37" hidden="1">'[1]NIT Report'!$G$255</definedName>
    <definedName name="HL_Err_Chk_38" hidden="1">'[1]OHS Report'!$G$255</definedName>
    <definedName name="HL_Err_Chk_39" hidden="1">'[1]REG Report'!$G$255</definedName>
    <definedName name="HL_Err_Chk_4" hidden="1">[1]AllocAssum_BA!$F$65</definedName>
    <definedName name="HL_Err_Chk_40" hidden="1">'[1]RISK Report'!$G$255</definedName>
    <definedName name="HL_Err_Chk_41" hidden="1">'[1]SDN Report'!$G$255</definedName>
    <definedName name="HL_Err_Chk_42" hidden="1">'[1]SDS Report'!$G$255</definedName>
    <definedName name="HL_Err_Chk_5" hidden="1">[1]AllocAssum_BA!$F$93</definedName>
    <definedName name="HL_Err_Chk_6" hidden="1">[1]AllocAssum_BA!$F$122</definedName>
    <definedName name="HL_Err_Chk_7" hidden="1">[1]FTEAssum_TA!$G$434</definedName>
    <definedName name="HL_Err_Chk_8" hidden="1">[1]FTEAssum_TA!$G$644</definedName>
    <definedName name="HL_Err_Chk_9" hidden="1">[1]FTEAssum_TA!$G$854</definedName>
    <definedName name="HL_Sheet_Main" hidden="1">#REF!</definedName>
    <definedName name="HL_Sheet_Main_10" hidden="1">#REF!</definedName>
    <definedName name="HL_Sheet_Main_11" hidden="1">#REF!</definedName>
    <definedName name="HL_Sheet_Main_12" hidden="1">#REF!</definedName>
    <definedName name="HL_Sheet_Main_13" hidden="1">#REF!</definedName>
    <definedName name="HL_Sheet_Main_14" hidden="1">#REF!</definedName>
    <definedName name="HL_Sheet_Main_15" hidden="1">#REF!</definedName>
    <definedName name="HL_Sheet_Main_16" hidden="1">#REF!</definedName>
    <definedName name="HL_Sheet_Main_2" hidden="1">#REF!</definedName>
    <definedName name="HL_Sheet_Main_3" hidden="1">#REF!</definedName>
    <definedName name="HL_Sheet_Main_4" hidden="1">#REF!</definedName>
    <definedName name="HL_Sheet_Main_5" hidden="1">#REF!</definedName>
    <definedName name="HL_Sheet_Main_6" hidden="1">#REF!</definedName>
    <definedName name="HL_Sheet_Main_7" hidden="1">#REF!</definedName>
    <definedName name="HL_Sheet_Main_8" hidden="1">#REF!</definedName>
    <definedName name="HL_Sheet_Main_9" hidden="1">#REF!</definedName>
    <definedName name="HL_TOC_1" hidden="1">#REF!</definedName>
    <definedName name="HL_TOC_2" hidden="1">#REF!</definedName>
    <definedName name="HL_TOC_3" hidden="1">#REF!</definedName>
    <definedName name="HL_TOC_4" hidden="1">#REF!</definedName>
    <definedName name="HL_TOC_5" hidden="1">#REF!</definedName>
    <definedName name="Integrity_Master" localSheetId="8">[2]Inputs_Gen!$H$888</definedName>
    <definedName name="jns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Pal_Workbook_GUID" hidden="1">"2G8BUMD4KTWF6AF8GVHYWWJF"</definedName>
    <definedName name="PRCP_y4">'[5]Business &amp; other details'!$F$41</definedName>
    <definedName name="PRCP_y5">'[5]Business &amp; other details'!$G$41</definedName>
    <definedName name="_xlnm.Print_Area" localSheetId="4">'Base Year - establishing'!$B$2:$E$24</definedName>
    <definedName name="RA_TS_Ass_Actual_Per_Title" hidden="1">#REF!</definedName>
    <definedName name="RA_TS_Ass_Actual_Pers" hidden="1">#REF!</definedName>
    <definedName name="RA_TS_Ass_Budget_Per_Title" hidden="1">#REF!</definedName>
    <definedName name="RA_TS_Ass_Budget_Pers" hidden="1">#REF!</definedName>
    <definedName name="RA_TS_Ass_Core_Fin_YE" hidden="1">#REF!</definedName>
    <definedName name="RA_TS_Ass_Core_Main_Ass_Hdg" hidden="1">#REF!</definedName>
    <definedName name="RA_TS_Ass_Core_Main_Ass_Hdg_Spacer" hidden="1">#REF!</definedName>
    <definedName name="RA_TS_Ass_Core_Main_Ass_Spacer" hidden="1">#REF!</definedName>
    <definedName name="RA_TS_Ass_Core_Main_Hdg" hidden="1">#REF!</definedName>
    <definedName name="RA_TS_Ass_Core_Main_Hdg_Spacer1" hidden="1">#REF!</definedName>
    <definedName name="RA_TS_Ass_Core_Main_Hdg_Spacer2" hidden="1">#REF!</definedName>
    <definedName name="RA_TS_Ass_Data_Ass_Spacer" hidden="1">#REF!</definedName>
    <definedName name="RA_TS_Ass_Data_End_Date" hidden="1">#REF!</definedName>
    <definedName name="RA_TS_Ass_Data_Final_Stub" hidden="1">#REF!</definedName>
    <definedName name="RA_TS_Ass_Data_Full_Pers" hidden="1">#REF!</definedName>
    <definedName name="RA_TS_Ass_Data_Hdg" hidden="1">#REF!</definedName>
    <definedName name="RA_TS_Ass_Data_Hdg_Spacer" hidden="1">#REF!</definedName>
    <definedName name="RA_TS_Ass_Data_Pers_Ass" hidden="1">#REF!</definedName>
    <definedName name="RA_TS_Ass_Data_Proj_Ass_Spacer" hidden="1">#REF!</definedName>
    <definedName name="RA_TS_Ass_Data_Proj_Hdg" hidden="1">#REF!</definedName>
    <definedName name="RA_TS_Ass_Data_Proj_Hdg_Spacer" hidden="1">#REF!</definedName>
    <definedName name="RA_TS_Ass_Data_Term_Basis" hidden="1">#REF!</definedName>
    <definedName name="RA_TS_Ass_Data_Total_Pers" hidden="1">#REF!</definedName>
    <definedName name="RA_TS_Ass_Denom" hidden="1">#REF!</definedName>
    <definedName name="RA_TS_Ass_Denom_Label" hidden="1">#REF!</definedName>
    <definedName name="RA_TS_Ass_Fcast_Per_Title" hidden="1">#REF!</definedName>
    <definedName name="RA_TS_Ass_Hist_Fcast_Ass_Spacer" hidden="1">#REF!</definedName>
    <definedName name="RA_TS_Ass_Hist_Fcast_Hdg" hidden="1">#REF!</definedName>
    <definedName name="RA_TS_Ass_Hist_Fcast_Hdg_Spacer" hidden="1">#REF!</definedName>
    <definedName name="RA_TS_Ass_Mth_End" hidden="1">#REF!</definedName>
    <definedName name="RA_TS_Ass_Mths_In_Per" hidden="1">#REF!</definedName>
    <definedName name="RA_TS_Ass_Note_Budget_Per" hidden="1">#REF!</definedName>
    <definedName name="RA_TS_Ass_Note_Data_Proj_Timing" hidden="1">#REF!</definedName>
    <definedName name="RA_TS_Ass_Note_Denom" hidden="1">#REF!</definedName>
    <definedName name="RA_TS_Ass_Note_Fin_YE" hidden="1">#REF!</definedName>
    <definedName name="RA_TS_Ass_Note_Inactive_Cols_Treat" hidden="1">#REF!</definedName>
    <definedName name="RA_TS_Ass_Notes_Hdg" hidden="1">#REF!</definedName>
    <definedName name="RA_TS_Ass_Notes_Hdg_Spacer" hidden="1">#REF!</definedName>
    <definedName name="RA_TS_Ass_Per_1_End_Date" hidden="1">#REF!</definedName>
    <definedName name="RA_TS_Ass_Per_1_FY_End_Date" hidden="1">#REF!</definedName>
    <definedName name="RA_TS_Ass_Per_1_FY_Start_Date" hidden="1">#REF!</definedName>
    <definedName name="RA_TS_Ass_Per_1_Number" hidden="1">#REF!</definedName>
    <definedName name="RA_TS_Ass_Per_1_Start_Date" hidden="1">#REF!</definedName>
    <definedName name="RA_TS_Ass_Per_Type_Name" hidden="1">#REF!</definedName>
    <definedName name="RA_TS_Ass_Per_Type_Prefix" hidden="1">#REF!</definedName>
    <definedName name="RA_TS_Ass_Periodicity" hidden="1">#REF!</definedName>
    <definedName name="RA_TS_Ass_Pers_In_Yr" hidden="1">#REF!</definedName>
    <definedName name="RA_TS_Ass_Proj_Ass_Spacer" hidden="1">#REF!</definedName>
    <definedName name="RA_TS_Ass_Proj_Hdg" hidden="1">#REF!</definedName>
    <definedName name="RA_TS_Ass_Proj_Hdg_Spacer" hidden="1">#REF!</definedName>
    <definedName name="RA_TS_Ass_Proj_Per_1_End_Date" hidden="1">#REF!</definedName>
    <definedName name="RA_TS_Ass_Proj_Per_1_FY_End_Date" hidden="1">#REF!</definedName>
    <definedName name="RA_TS_Ass_Proj_Per_1_FY_Start_Date" hidden="1">#REF!</definedName>
    <definedName name="RA_TS_Ass_Proj_Per_1_Number" hidden="1">#REF!</definedName>
    <definedName name="RA_TS_Ass_Proj_Per_1_Start_Date" hidden="1">#REF!</definedName>
    <definedName name="RA_TS_Ass_Proj_Start_Date" hidden="1">#REF!</definedName>
    <definedName name="RA_TS_Ass_Proj_Start_Date_Ass" hidden="1">#REF!</definedName>
    <definedName name="RA_TS_Ass_Show_Hist_Fcast_Pers" hidden="1">#REF!</definedName>
    <definedName name="RA_TS_Ass_Start_Date" hidden="1">#REF!</definedName>
    <definedName name="RA_TS_Ass_Std_Pers" hidden="1">#REF!</definedName>
    <definedName name="RA_TS_Ass_Title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"Set_P0_RevenueCap"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TRUE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2</definedName>
    <definedName name="TOC_Hdg_1" hidden="1">#REF!</definedName>
    <definedName name="TOC_Hdg_2" hidden="1">#REF!</definedName>
    <definedName name="TOC_Hdg_3" hidden="1">[1]Checks_BO!$B$7</definedName>
    <definedName name="TOC_Hdg_4" hidden="1">[1]Checks_BO!$B$66</definedName>
    <definedName name="TOC_Hdg_5" hidden="1">[1]Checks_BO!$B$82</definedName>
    <definedName name="wrn.TEST." localSheetId="5" hidden="1">{#N/A,#N/A,FALSE,"MGH income-Support";#N/A,#N/A,FALSE,"MGN balance sheet-Support"}</definedName>
    <definedName name="wrn.TEST." localSheetId="8" hidden="1">{#N/A,#N/A,FALSE,"MGH income-Support";#N/A,#N/A,FALSE,"MGN balance sheet-Support"}</definedName>
    <definedName name="wrn.TEST." hidden="1">{#N/A,#N/A,FALSE,"MGH income-Support";#N/A,#N/A,FALSE,"MGN balance sheet-Support"}</definedName>
    <definedName name="wrn.UEG._.Operating._.Report.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1" l="1"/>
  <c r="G70" i="11"/>
  <c r="F70" i="11"/>
  <c r="E70" i="11"/>
  <c r="D70" i="11"/>
  <c r="I69" i="11"/>
  <c r="I68" i="11"/>
  <c r="I67" i="11"/>
  <c r="I66" i="11"/>
  <c r="I65" i="11"/>
  <c r="I64" i="11"/>
  <c r="I63" i="11"/>
  <c r="I62" i="11"/>
  <c r="I61" i="11"/>
  <c r="I60" i="11"/>
  <c r="I58" i="11"/>
  <c r="I70" i="11" s="1"/>
  <c r="H57" i="11"/>
  <c r="F57" i="11"/>
  <c r="E57" i="11"/>
  <c r="D57" i="11"/>
  <c r="D57" i="11" a="1"/>
  <c r="G57" i="11" s="1"/>
  <c r="D56" i="11"/>
  <c r="L49" i="11"/>
  <c r="L48" i="11"/>
  <c r="L47" i="11"/>
  <c r="L46" i="11"/>
  <c r="L45" i="11"/>
  <c r="N44" i="11"/>
  <c r="L41" i="11"/>
  <c r="I39" i="11"/>
  <c r="E39" i="11"/>
  <c r="D39" i="11"/>
  <c r="C38" i="11"/>
  <c r="H37" i="11"/>
  <c r="G37" i="11"/>
  <c r="F37" i="11"/>
  <c r="C36" i="11"/>
  <c r="H35" i="11"/>
  <c r="G35" i="11"/>
  <c r="F35" i="11"/>
  <c r="C35" i="11"/>
  <c r="H34" i="11"/>
  <c r="C34" i="11"/>
  <c r="H33" i="11"/>
  <c r="H39" i="11" s="1"/>
  <c r="Q30" i="11"/>
  <c r="P30" i="11"/>
  <c r="I30" i="11"/>
  <c r="H30" i="11"/>
  <c r="G30" i="11"/>
  <c r="F30" i="11"/>
  <c r="R29" i="11"/>
  <c r="Q29" i="11"/>
  <c r="P29" i="11"/>
  <c r="O29" i="11"/>
  <c r="N29" i="11"/>
  <c r="M29" i="11"/>
  <c r="L29" i="11"/>
  <c r="J29" i="11"/>
  <c r="I29" i="11"/>
  <c r="H29" i="11"/>
  <c r="G29" i="11"/>
  <c r="F29" i="11"/>
  <c r="E29" i="11"/>
  <c r="D29" i="11"/>
  <c r="N28" i="11"/>
  <c r="L28" i="11"/>
  <c r="F24" i="11"/>
  <c r="E24" i="11"/>
  <c r="D24" i="11"/>
  <c r="Q16" i="11"/>
  <c r="J16" i="11"/>
  <c r="R16" i="11" s="1"/>
  <c r="I16" i="11"/>
  <c r="I24" i="11" s="1"/>
  <c r="H16" i="11"/>
  <c r="H24" i="11" s="1"/>
  <c r="G16" i="11"/>
  <c r="F16" i="11"/>
  <c r="N16" i="11" s="1"/>
  <c r="V15" i="11"/>
  <c r="U15" i="11"/>
  <c r="T15" i="11"/>
  <c r="S15" i="11" a="1"/>
  <c r="R15" i="11"/>
  <c r="Q15" i="11"/>
  <c r="P15" i="11"/>
  <c r="O15" i="11"/>
  <c r="N15" i="11"/>
  <c r="M15" i="11"/>
  <c r="L15" i="11"/>
  <c r="J15" i="11"/>
  <c r="I15" i="11"/>
  <c r="H15" i="11"/>
  <c r="G15" i="11"/>
  <c r="F15" i="11"/>
  <c r="E15" i="11"/>
  <c r="D15" i="11"/>
  <c r="N14" i="11"/>
  <c r="L14" i="11"/>
  <c r="F14" i="11"/>
  <c r="D14" i="11"/>
  <c r="C10" i="11"/>
  <c r="Q5" i="11"/>
  <c r="K5" i="11"/>
  <c r="R4" i="11"/>
  <c r="Q4" i="11"/>
  <c r="P4" i="11"/>
  <c r="O4" i="11"/>
  <c r="N4" i="11"/>
  <c r="M4" i="11"/>
  <c r="R3" i="11"/>
  <c r="Q3" i="11"/>
  <c r="P3" i="11"/>
  <c r="O3" i="11"/>
  <c r="N3" i="11"/>
  <c r="M3" i="11"/>
  <c r="L3" i="11"/>
  <c r="J3" i="11"/>
  <c r="I3" i="11"/>
  <c r="H3" i="11"/>
  <c r="G3" i="11"/>
  <c r="F3" i="11"/>
  <c r="E3" i="11"/>
  <c r="D3" i="11"/>
  <c r="P5" i="11" l="1"/>
  <c r="Q37" i="11"/>
  <c r="Q35" i="11"/>
  <c r="G24" i="11"/>
  <c r="O16" i="11"/>
  <c r="G39" i="11"/>
  <c r="O30" i="11"/>
  <c r="P35" i="11"/>
  <c r="P37" i="11"/>
  <c r="Q38" i="11"/>
  <c r="Q36" i="11"/>
  <c r="Q32" i="11"/>
  <c r="Q39" i="11" s="1"/>
  <c r="Q34" i="11"/>
  <c r="Q33" i="11"/>
  <c r="W15" i="11"/>
  <c r="S15" i="11"/>
  <c r="P16" i="11"/>
  <c r="J24" i="11"/>
  <c r="F39" i="11"/>
  <c r="N30" i="11"/>
  <c r="H11" i="2"/>
  <c r="G11" i="2"/>
  <c r="F11" i="2"/>
  <c r="E11" i="2"/>
  <c r="D11" i="2"/>
  <c r="C11" i="2"/>
  <c r="P38" i="11" l="1"/>
  <c r="P36" i="11"/>
  <c r="P32" i="11"/>
  <c r="P34" i="11"/>
  <c r="O5" i="11"/>
  <c r="P33" i="11"/>
  <c r="G8" i="10"/>
  <c r="F8" i="10"/>
  <c r="E8" i="10"/>
  <c r="D8" i="10"/>
  <c r="C8" i="10"/>
  <c r="N5" i="11" l="1"/>
  <c r="O36" i="11"/>
  <c r="O33" i="11"/>
  <c r="O38" i="11"/>
  <c r="O34" i="11"/>
  <c r="O32" i="11"/>
  <c r="O37" i="11"/>
  <c r="O35" i="11"/>
  <c r="P39" i="11"/>
  <c r="K23" i="6"/>
  <c r="K22" i="6" s="1"/>
  <c r="O39" i="11" l="1"/>
  <c r="N34" i="11"/>
  <c r="N33" i="11"/>
  <c r="N38" i="11"/>
  <c r="N32" i="11"/>
  <c r="N36" i="11"/>
  <c r="M5" i="11"/>
  <c r="N37" i="11"/>
  <c r="N35" i="11"/>
  <c r="G9" i="7"/>
  <c r="F9" i="7"/>
  <c r="G8" i="7"/>
  <c r="F8" i="7"/>
  <c r="G7" i="7"/>
  <c r="F7" i="7"/>
  <c r="G6" i="7"/>
  <c r="F6" i="7"/>
  <c r="F5" i="7"/>
  <c r="M38" i="11" l="1"/>
  <c r="M36" i="11"/>
  <c r="M32" i="11"/>
  <c r="P23" i="11"/>
  <c r="L23" i="11"/>
  <c r="O22" i="11"/>
  <c r="R21" i="11"/>
  <c r="N21" i="11"/>
  <c r="Q20" i="11"/>
  <c r="M20" i="11"/>
  <c r="P19" i="11"/>
  <c r="L19" i="11"/>
  <c r="O18" i="11"/>
  <c r="M34" i="11"/>
  <c r="M33" i="11"/>
  <c r="O23" i="11"/>
  <c r="R22" i="11"/>
  <c r="N22" i="11"/>
  <c r="Q21" i="11"/>
  <c r="M21" i="11"/>
  <c r="P20" i="11"/>
  <c r="L20" i="11"/>
  <c r="O19" i="11"/>
  <c r="R18" i="11"/>
  <c r="N18" i="11"/>
  <c r="M37" i="11"/>
  <c r="M23" i="11"/>
  <c r="L22" i="11"/>
  <c r="R20" i="11"/>
  <c r="Q19" i="11"/>
  <c r="P18" i="11"/>
  <c r="L5" i="11"/>
  <c r="M35" i="11"/>
  <c r="R23" i="11"/>
  <c r="Q22" i="11"/>
  <c r="P21" i="11"/>
  <c r="O20" i="11"/>
  <c r="N19" i="11"/>
  <c r="M18" i="11"/>
  <c r="Q23" i="11"/>
  <c r="P22" i="11"/>
  <c r="O21" i="11"/>
  <c r="N20" i="11"/>
  <c r="M19" i="11"/>
  <c r="L18" i="11"/>
  <c r="M16" i="11"/>
  <c r="M30" i="11"/>
  <c r="M39" i="11" s="1"/>
  <c r="N23" i="11"/>
  <c r="M22" i="11"/>
  <c r="L21" i="11"/>
  <c r="L16" i="11"/>
  <c r="R19" i="11"/>
  <c r="Q18" i="11"/>
  <c r="N39" i="11"/>
  <c r="K17" i="6"/>
  <c r="K18" i="6"/>
  <c r="K16" i="6"/>
  <c r="K15" i="6"/>
  <c r="K14" i="6"/>
  <c r="L37" i="11" l="1"/>
  <c r="L35" i="11"/>
  <c r="L38" i="11"/>
  <c r="L36" i="11"/>
  <c r="L32" i="11"/>
  <c r="L34" i="11"/>
  <c r="L30" i="11"/>
  <c r="L39" i="11" s="1"/>
  <c r="L33" i="11"/>
  <c r="R24" i="11"/>
  <c r="L24" i="11"/>
  <c r="P24" i="11"/>
  <c r="M24" i="11"/>
  <c r="Q24" i="11"/>
  <c r="N24" i="11"/>
  <c r="N42" i="11" s="1"/>
  <c r="O24" i="11"/>
  <c r="O42" i="11" s="1"/>
  <c r="K34" i="6"/>
  <c r="G12" i="7"/>
  <c r="T46" i="11" l="1"/>
  <c r="P46" i="11"/>
  <c r="S46" i="11"/>
  <c r="R46" i="11"/>
  <c r="Q46" i="11"/>
  <c r="P42" i="11"/>
  <c r="Q45" i="11"/>
  <c r="P45" i="11"/>
  <c r="S45" i="11"/>
  <c r="R45" i="11"/>
  <c r="O45" i="11"/>
  <c r="Q42" i="11"/>
  <c r="R39" i="11"/>
  <c r="R42" i="11" s="1"/>
  <c r="K11" i="4"/>
  <c r="K5" i="4"/>
  <c r="J5" i="4"/>
  <c r="I5" i="4"/>
  <c r="H5" i="4"/>
  <c r="G5" i="4"/>
  <c r="K4" i="4"/>
  <c r="J4" i="4"/>
  <c r="I4" i="4"/>
  <c r="H4" i="4"/>
  <c r="G4" i="4"/>
  <c r="F4" i="4"/>
  <c r="U49" i="11" l="1"/>
  <c r="T49" i="11"/>
  <c r="S49" i="11"/>
  <c r="W49" i="11"/>
  <c r="W50" i="11" s="1"/>
  <c r="W52" i="11" s="1"/>
  <c r="V49" i="11"/>
  <c r="V48" i="11"/>
  <c r="V50" i="11" s="1"/>
  <c r="V52" i="11" s="1"/>
  <c r="R48" i="11"/>
  <c r="U48" i="11"/>
  <c r="T48" i="11"/>
  <c r="S48" i="11"/>
  <c r="S47" i="11"/>
  <c r="R47" i="11"/>
  <c r="U47" i="11"/>
  <c r="T47" i="11"/>
  <c r="T50" i="11" s="1"/>
  <c r="T52" i="11" s="1"/>
  <c r="Q47" i="11"/>
  <c r="S50" i="11"/>
  <c r="E12" i="7"/>
  <c r="S52" i="11" l="1"/>
  <c r="U50" i="11"/>
  <c r="U52" i="11" s="1"/>
  <c r="F12" i="7"/>
  <c r="X52" i="11" l="1"/>
  <c r="X50" i="11"/>
  <c r="V7" i="9"/>
  <c r="V6" i="9"/>
  <c r="V2" i="9"/>
  <c r="H9" i="10" l="1"/>
  <c r="H8" i="10"/>
  <c r="H7" i="10"/>
  <c r="T2" i="9" l="1"/>
  <c r="S14" i="9" s="1"/>
  <c r="S16" i="9" s="1"/>
  <c r="E4" i="9"/>
  <c r="F4" i="9" s="1"/>
  <c r="G4" i="9" s="1"/>
  <c r="H4" i="9" s="1"/>
  <c r="I4" i="9"/>
  <c r="J4" i="9" s="1"/>
  <c r="K4" i="9" s="1"/>
  <c r="L4" i="9" s="1"/>
  <c r="M4" i="9" s="1"/>
  <c r="N4" i="9" s="1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U6" i="9"/>
  <c r="U2" i="9" s="1"/>
  <c r="U7" i="9" s="1"/>
  <c r="AD6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Q12" i="9" s="1"/>
  <c r="R10" i="9"/>
  <c r="R12" i="9" s="1"/>
  <c r="S10" i="9"/>
  <c r="T10" i="9"/>
  <c r="T12" i="9" s="1"/>
  <c r="N12" i="9"/>
  <c r="O12" i="9"/>
  <c r="P12" i="9"/>
  <c r="S12" i="9"/>
  <c r="L14" i="9"/>
  <c r="L16" i="9" s="1"/>
  <c r="M14" i="9"/>
  <c r="N14" i="9"/>
  <c r="N16" i="9" s="1"/>
  <c r="O14" i="9"/>
  <c r="O16" i="9" s="1"/>
  <c r="P14" i="9"/>
  <c r="P16" i="9" s="1"/>
  <c r="Q14" i="9"/>
  <c r="R14" i="9"/>
  <c r="Z14" i="9"/>
  <c r="Z16" i="9" s="1"/>
  <c r="R16" i="9"/>
  <c r="O20" i="9"/>
  <c r="S23" i="9"/>
  <c r="N24" i="9"/>
  <c r="P24" i="9"/>
  <c r="R24" i="9"/>
  <c r="S28" i="9"/>
  <c r="B34" i="9"/>
  <c r="D12" i="7"/>
  <c r="Q20" i="9" l="1"/>
  <c r="O24" i="9"/>
  <c r="S24" i="9" s="1"/>
  <c r="P20" i="9"/>
  <c r="U10" i="9"/>
  <c r="U12" i="9" s="1"/>
  <c r="T6" i="9"/>
  <c r="Q24" i="9"/>
  <c r="O4" i="9"/>
  <c r="P4" i="9" s="1"/>
  <c r="R20" i="9"/>
  <c r="Q16" i="9"/>
  <c r="N20" i="9"/>
  <c r="S20" i="9" s="1"/>
  <c r="M16" i="9"/>
  <c r="T14" i="9"/>
  <c r="T16" i="9" s="1"/>
  <c r="V10" i="9" l="1"/>
  <c r="V12" i="9" s="1"/>
  <c r="U14" i="9"/>
  <c r="U16" i="9" s="1"/>
  <c r="W2" i="9"/>
  <c r="P9" i="9"/>
  <c r="Q9" i="9" s="1"/>
  <c r="R9" i="9" s="1"/>
  <c r="Q4" i="9"/>
  <c r="R4" i="9" s="1"/>
  <c r="S4" i="9" s="1"/>
  <c r="S9" i="9" l="1"/>
  <c r="T9" i="9" s="1"/>
  <c r="U9" i="9" s="1"/>
  <c r="V9" i="9" s="1"/>
  <c r="W9" i="9" s="1"/>
  <c r="X9" i="9" s="1"/>
  <c r="T4" i="9"/>
  <c r="X2" i="9"/>
  <c r="X33" i="9" s="1"/>
  <c r="V14" i="9"/>
  <c r="V16" i="9" s="1"/>
  <c r="W7" i="9"/>
  <c r="W10" i="9"/>
  <c r="W12" i="9" s="1"/>
  <c r="K56" i="6"/>
  <c r="N60" i="6" s="1"/>
  <c r="K49" i="6"/>
  <c r="K77" i="6"/>
  <c r="K76" i="6"/>
  <c r="K65" i="6"/>
  <c r="K37" i="6"/>
  <c r="J4" i="6"/>
  <c r="I4" i="6" s="1"/>
  <c r="H4" i="6" s="1"/>
  <c r="L4" i="6"/>
  <c r="M4" i="6" s="1"/>
  <c r="M65" i="6" s="1"/>
  <c r="K11" i="6"/>
  <c r="O60" i="6" l="1"/>
  <c r="G19" i="7"/>
  <c r="F19" i="7"/>
  <c r="E33" i="9"/>
  <c r="I33" i="9"/>
  <c r="M33" i="9"/>
  <c r="Q33" i="9"/>
  <c r="U33" i="9"/>
  <c r="K33" i="9"/>
  <c r="F33" i="9"/>
  <c r="J33" i="9"/>
  <c r="N33" i="9"/>
  <c r="R33" i="9"/>
  <c r="V33" i="9"/>
  <c r="G33" i="9"/>
  <c r="S33" i="9"/>
  <c r="H33" i="9"/>
  <c r="L33" i="9"/>
  <c r="P33" i="9"/>
  <c r="T33" i="9"/>
  <c r="O33" i="9"/>
  <c r="D33" i="9"/>
  <c r="W33" i="9"/>
  <c r="P60" i="6"/>
  <c r="M60" i="6"/>
  <c r="Q60" i="6"/>
  <c r="U4" i="9"/>
  <c r="V4" i="9" s="1"/>
  <c r="W4" i="9" s="1"/>
  <c r="F32" i="9" s="1"/>
  <c r="F34" i="9" s="1"/>
  <c r="S32" i="9"/>
  <c r="S34" i="9" s="1"/>
  <c r="U32" i="9"/>
  <c r="U34" i="9" s="1"/>
  <c r="T32" i="9"/>
  <c r="T34" i="9" s="1"/>
  <c r="E32" i="9"/>
  <c r="E34" i="9" s="1"/>
  <c r="I32" i="9"/>
  <c r="I34" i="9" s="1"/>
  <c r="R32" i="9"/>
  <c r="R34" i="9" s="1"/>
  <c r="M32" i="9"/>
  <c r="M34" i="9" s="1"/>
  <c r="L32" i="9"/>
  <c r="L34" i="9" s="1"/>
  <c r="J32" i="9"/>
  <c r="J34" i="9" s="1"/>
  <c r="G32" i="9"/>
  <c r="G34" i="9" s="1"/>
  <c r="D37" i="9"/>
  <c r="P32" i="9"/>
  <c r="P34" i="9" s="1"/>
  <c r="H32" i="9"/>
  <c r="H34" i="9" s="1"/>
  <c r="N32" i="9"/>
  <c r="N34" i="9" s="1"/>
  <c r="K32" i="9"/>
  <c r="K34" i="9" s="1"/>
  <c r="Q32" i="9"/>
  <c r="Q34" i="9" s="1"/>
  <c r="O32" i="9"/>
  <c r="O34" i="9" s="1"/>
  <c r="D32" i="9"/>
  <c r="D34" i="9" s="1"/>
  <c r="V32" i="9"/>
  <c r="V34" i="9" s="1"/>
  <c r="Y2" i="9"/>
  <c r="Y33" i="9" s="1"/>
  <c r="W14" i="9"/>
  <c r="W16" i="9" s="1"/>
  <c r="X7" i="9"/>
  <c r="X10" i="9"/>
  <c r="X12" i="9" s="1"/>
  <c r="X32" i="9"/>
  <c r="X34" i="9" s="1"/>
  <c r="E19" i="7"/>
  <c r="L25" i="6" s="1"/>
  <c r="L34" i="6" s="1"/>
  <c r="D19" i="7"/>
  <c r="C15" i="7"/>
  <c r="M37" i="6"/>
  <c r="L49" i="6"/>
  <c r="L65" i="6"/>
  <c r="M49" i="6"/>
  <c r="L37" i="6"/>
  <c r="M11" i="6"/>
  <c r="N4" i="6"/>
  <c r="L11" i="6"/>
  <c r="C14" i="7" l="1"/>
  <c r="G14" i="7" s="1"/>
  <c r="Z2" i="9"/>
  <c r="Z33" i="9" s="1"/>
  <c r="X14" i="9"/>
  <c r="X16" i="9" s="1"/>
  <c r="Y10" i="9"/>
  <c r="Y12" i="9" s="1"/>
  <c r="Y7" i="9"/>
  <c r="Y32" i="9"/>
  <c r="Y34" i="9" s="1"/>
  <c r="E14" i="7"/>
  <c r="E15" i="7" s="1"/>
  <c r="E17" i="7" s="1"/>
  <c r="E21" i="7" s="1"/>
  <c r="X4" i="9"/>
  <c r="Y4" i="9" s="1"/>
  <c r="Z4" i="9" s="1"/>
  <c r="W32" i="9"/>
  <c r="W34" i="9" s="1"/>
  <c r="N49" i="6"/>
  <c r="N65" i="6"/>
  <c r="N37" i="6"/>
  <c r="N11" i="6"/>
  <c r="O4" i="6"/>
  <c r="F14" i="7" l="1"/>
  <c r="F15" i="7" s="1"/>
  <c r="F17" i="7" s="1"/>
  <c r="F21" i="7" s="1"/>
  <c r="D14" i="7"/>
  <c r="D15" i="7" s="1"/>
  <c r="D17" i="7" s="1"/>
  <c r="D21" i="7" s="1"/>
  <c r="G15" i="7"/>
  <c r="Z7" i="9"/>
  <c r="Z10" i="9"/>
  <c r="Z12" i="9" s="1"/>
  <c r="Z32" i="9"/>
  <c r="Z34" i="9" s="1"/>
  <c r="Y14" i="9"/>
  <c r="Y16" i="9" s="1"/>
  <c r="O37" i="6"/>
  <c r="O49" i="6"/>
  <c r="O65" i="6"/>
  <c r="P4" i="6"/>
  <c r="O11" i="6"/>
  <c r="G17" i="7" l="1"/>
  <c r="G21" i="7" s="1"/>
  <c r="H15" i="7"/>
  <c r="P37" i="6"/>
  <c r="P65" i="6"/>
  <c r="P49" i="6"/>
  <c r="K45" i="6"/>
  <c r="P11" i="6"/>
  <c r="Q4" i="6"/>
  <c r="C4" i="10" l="1"/>
  <c r="L45" i="6"/>
  <c r="Q65" i="6"/>
  <c r="Q49" i="6"/>
  <c r="Q37" i="6"/>
  <c r="Q11" i="6"/>
  <c r="O42" i="6"/>
  <c r="M42" i="6"/>
  <c r="N42" i="6"/>
  <c r="Q42" i="6"/>
  <c r="D4" i="10" l="1"/>
  <c r="L79" i="6"/>
  <c r="P42" i="6"/>
  <c r="E4" i="10" l="1"/>
  <c r="D12" i="2"/>
  <c r="M69" i="6" s="1"/>
  <c r="E12" i="2"/>
  <c r="N69" i="6" s="1"/>
  <c r="F12" i="2"/>
  <c r="G12" i="2"/>
  <c r="P69" i="6" s="1"/>
  <c r="H12" i="2"/>
  <c r="Q69" i="6" s="1"/>
  <c r="C12" i="2"/>
  <c r="L69" i="6" s="1"/>
  <c r="C7" i="4"/>
  <c r="F5" i="4"/>
  <c r="K3" i="4"/>
  <c r="K9" i="4" s="1"/>
  <c r="J3" i="4"/>
  <c r="G4" i="2" s="1"/>
  <c r="P52" i="6" s="1"/>
  <c r="P59" i="6" s="1"/>
  <c r="P28" i="6" s="1"/>
  <c r="I3" i="4"/>
  <c r="I9" i="4" s="1"/>
  <c r="H3" i="4"/>
  <c r="E4" i="2" s="1"/>
  <c r="N52" i="6" s="1"/>
  <c r="N59" i="6" s="1"/>
  <c r="N28" i="6" s="1"/>
  <c r="G3" i="4"/>
  <c r="G9" i="4" s="1"/>
  <c r="J2" i="4"/>
  <c r="I2" i="4" s="1"/>
  <c r="H2" i="4" s="1"/>
  <c r="G2" i="4" s="1"/>
  <c r="F2" i="4" s="1"/>
  <c r="E2" i="4" s="1"/>
  <c r="O69" i="6" l="1"/>
  <c r="P73" i="6" s="1"/>
  <c r="F16" i="2"/>
  <c r="F4" i="10"/>
  <c r="J9" i="4"/>
  <c r="F4" i="2"/>
  <c r="O52" i="6" s="1"/>
  <c r="O59" i="6" s="1"/>
  <c r="O28" i="6" s="1"/>
  <c r="N73" i="6"/>
  <c r="Q73" i="6"/>
  <c r="M73" i="6"/>
  <c r="O73" i="6"/>
  <c r="H9" i="4"/>
  <c r="F3" i="4"/>
  <c r="F9" i="4" s="1"/>
  <c r="F11" i="4" s="1"/>
  <c r="G11" i="4" s="1"/>
  <c r="H11" i="4" s="1"/>
  <c r="I11" i="4" s="1"/>
  <c r="D4" i="2"/>
  <c r="H4" i="2"/>
  <c r="Q52" i="6" s="1"/>
  <c r="Q59" i="6" s="1"/>
  <c r="Q28" i="6" s="1"/>
  <c r="G4" i="10" l="1"/>
  <c r="H4" i="10"/>
  <c r="J11" i="4"/>
  <c r="D7" i="2"/>
  <c r="M52" i="6"/>
  <c r="M59" i="6" s="1"/>
  <c r="M28" i="6" s="1"/>
  <c r="M84" i="6" s="1"/>
  <c r="K9" i="3"/>
  <c r="J9" i="3"/>
  <c r="I9" i="3"/>
  <c r="H9" i="3"/>
  <c r="G9" i="3"/>
  <c r="F9" i="3"/>
  <c r="C9" i="3"/>
  <c r="N84" i="6" l="1"/>
  <c r="M87" i="6"/>
  <c r="D2" i="2"/>
  <c r="O84" i="6" l="1"/>
  <c r="N87" i="6"/>
  <c r="C6" i="10"/>
  <c r="O87" i="6" l="1"/>
  <c r="P84" i="6"/>
  <c r="D6" i="10"/>
  <c r="Q84" i="6" l="1"/>
  <c r="Q87" i="6" s="1"/>
  <c r="P87" i="6"/>
  <c r="F6" i="10" s="1"/>
  <c r="E6" i="10"/>
  <c r="G6" i="10"/>
  <c r="E7" i="2" l="1"/>
  <c r="F7" i="2"/>
  <c r="G7" i="2"/>
  <c r="H7" i="2"/>
  <c r="E16" i="2"/>
  <c r="G16" i="2"/>
  <c r="H16" i="2"/>
  <c r="D16" i="2"/>
  <c r="E2" i="2"/>
  <c r="F2" i="2" s="1"/>
  <c r="G2" i="2" s="1"/>
  <c r="H2" i="2" s="1"/>
  <c r="H6" i="10" l="1"/>
  <c r="F8" i="3" l="1"/>
  <c r="F11" i="3" s="1"/>
  <c r="L68" i="6" l="1"/>
  <c r="H8" i="3" l="1"/>
  <c r="H11" i="3" s="1"/>
  <c r="I8" i="3"/>
  <c r="I11" i="3" s="1"/>
  <c r="J8" i="3" l="1"/>
  <c r="J11" i="3" s="1"/>
  <c r="G8" i="3"/>
  <c r="G11" i="3" s="1"/>
  <c r="K8" i="3"/>
  <c r="K11" i="3" s="1"/>
  <c r="N68" i="6" l="1"/>
  <c r="E15" i="2"/>
  <c r="E18" i="2" s="1"/>
  <c r="O68" i="6"/>
  <c r="F15" i="2"/>
  <c r="F18" i="2" s="1"/>
  <c r="O72" i="6" l="1"/>
  <c r="O79" i="6" s="1"/>
  <c r="O30" i="6" s="1"/>
  <c r="O32" i="6" s="1"/>
  <c r="G15" i="2"/>
  <c r="G18" i="2" s="1"/>
  <c r="P68" i="6"/>
  <c r="P72" i="6" s="1"/>
  <c r="P79" i="6" s="1"/>
  <c r="P30" i="6" s="1"/>
  <c r="P32" i="6" s="1"/>
  <c r="Q68" i="6"/>
  <c r="H15" i="2"/>
  <c r="H18" i="2" s="1"/>
  <c r="D15" i="2"/>
  <c r="D18" i="2" s="1"/>
  <c r="M68" i="6"/>
  <c r="M72" i="6" s="1"/>
  <c r="M79" i="6" s="1"/>
  <c r="M30" i="6" s="1"/>
  <c r="M85" i="6" s="1"/>
  <c r="N72" i="6" l="1"/>
  <c r="N79" i="6" s="1"/>
  <c r="N30" i="6" s="1"/>
  <c r="N32" i="6" s="1"/>
  <c r="M88" i="6"/>
  <c r="Q72" i="6"/>
  <c r="Q79" i="6" s="1"/>
  <c r="Q30" i="6" s="1"/>
  <c r="Q32" i="6" s="1"/>
  <c r="M32" i="6"/>
  <c r="M34" i="6" s="1"/>
  <c r="N85" i="6" l="1"/>
  <c r="N88" i="6" s="1"/>
  <c r="O85" i="6"/>
  <c r="N34" i="6"/>
  <c r="M45" i="6"/>
  <c r="P85" i="6" l="1"/>
  <c r="O88" i="6"/>
  <c r="C5" i="10"/>
  <c r="O34" i="6"/>
  <c r="N45" i="6"/>
  <c r="Q85" i="6" l="1"/>
  <c r="Q88" i="6" s="1"/>
  <c r="P88" i="6"/>
  <c r="P34" i="6"/>
  <c r="O45" i="6"/>
  <c r="D5" i="10"/>
  <c r="Q34" i="6" l="1"/>
  <c r="P45" i="6"/>
  <c r="E5" i="10"/>
  <c r="Q45" i="6" l="1"/>
  <c r="R34" i="6"/>
  <c r="R35" i="6" s="1"/>
  <c r="G5" i="10"/>
  <c r="F5" i="10"/>
  <c r="H5" i="10" l="1"/>
  <c r="C10" i="10" l="1"/>
  <c r="C11" i="10" l="1"/>
  <c r="D10" i="10"/>
  <c r="D11" i="10" s="1"/>
  <c r="E10" i="10" l="1"/>
  <c r="E11" i="10" s="1"/>
  <c r="F10" i="10" l="1"/>
  <c r="F11" i="10" s="1"/>
  <c r="G10" i="10" l="1"/>
  <c r="G11" i="10" s="1"/>
  <c r="H10" i="10" l="1"/>
  <c r="H11" i="10" s="1"/>
</calcChain>
</file>

<file path=xl/comments1.xml><?xml version="1.0" encoding="utf-8"?>
<comments xmlns="http://schemas.openxmlformats.org/spreadsheetml/2006/main">
  <authors>
    <author>Hutchinson, Ben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Hutchinson, Ben:</t>
        </r>
        <r>
          <rPr>
            <sz val="9"/>
            <color indexed="81"/>
            <rFont val="Tahoma"/>
            <family val="2"/>
          </rPr>
          <t xml:space="preserve">
X23:X27 from Sheet "Input - by HY" received form Roman on 29 Jun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Hutchinson, Ben:</t>
        </r>
        <r>
          <rPr>
            <sz val="9"/>
            <color indexed="81"/>
            <rFont val="Tahoma"/>
            <family val="2"/>
          </rPr>
          <t xml:space="preserve">
X23:X28 from Sheet "Input - by HY" received form Roman on 08 Jul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Hutchinson, Ben:</t>
        </r>
        <r>
          <rPr>
            <sz val="9"/>
            <color indexed="81"/>
            <rFont val="Tahoma"/>
            <family val="2"/>
          </rPr>
          <t xml:space="preserve">
X23:X28 from Sheet "Input - by HY" received form Roman on 15 Sep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Hutchinson, Ben:</t>
        </r>
        <r>
          <rPr>
            <sz val="9"/>
            <color indexed="81"/>
            <rFont val="Tahoma"/>
            <family val="2"/>
          </rPr>
          <t xml:space="preserve">
X23:X28 from Sheet "Input - by HY" received form Roman on 19 oct
</t>
        </r>
      </text>
    </comment>
  </commentList>
</comments>
</file>

<file path=xl/sharedStrings.xml><?xml version="1.0" encoding="utf-8"?>
<sst xmlns="http://schemas.openxmlformats.org/spreadsheetml/2006/main" count="351" uniqueCount="196">
  <si>
    <t>Step changes</t>
  </si>
  <si>
    <t>WPI</t>
  </si>
  <si>
    <t>Labour weight</t>
  </si>
  <si>
    <t>Price change</t>
  </si>
  <si>
    <t>Customer numbers</t>
  </si>
  <si>
    <t>Circuit Length</t>
  </si>
  <si>
    <t>Weights</t>
  </si>
  <si>
    <t>Rate of change</t>
  </si>
  <si>
    <t>Opex</t>
  </si>
  <si>
    <t>Output growth</t>
  </si>
  <si>
    <t xml:space="preserve">Customer numbers </t>
  </si>
  <si>
    <t>AER Draft Decision PTRM, Core Energy Demand Model</t>
  </si>
  <si>
    <t>Customer numbers % change</t>
  </si>
  <si>
    <t>Escalation factor</t>
  </si>
  <si>
    <t>Network Length (km)</t>
  </si>
  <si>
    <t>ACIL Allen, November 2015, Core Energy demand model</t>
  </si>
  <si>
    <t>Length % change</t>
  </si>
  <si>
    <t>Year-on-Year</t>
  </si>
  <si>
    <t>Source</t>
  </si>
  <si>
    <t>Input costs</t>
  </si>
  <si>
    <t>Labour factor</t>
  </si>
  <si>
    <t>Electricity, Gas, Water and Waste Services</t>
  </si>
  <si>
    <t>Contractor</t>
  </si>
  <si>
    <t>Materials</t>
  </si>
  <si>
    <t>Total input cost escalation (weighted)</t>
  </si>
  <si>
    <t>Cumulative Escalation</t>
  </si>
  <si>
    <t>Key:</t>
  </si>
  <si>
    <t>Input</t>
  </si>
  <si>
    <t>External Link</t>
  </si>
  <si>
    <t>Internal Link</t>
  </si>
  <si>
    <t>Historical Period</t>
  </si>
  <si>
    <t>Base Year</t>
  </si>
  <si>
    <t>Forecast Period</t>
  </si>
  <si>
    <t>Unit</t>
  </si>
  <si>
    <t>Basis</t>
  </si>
  <si>
    <t>Calc | Operating expenditure</t>
  </si>
  <si>
    <t>Base opex</t>
  </si>
  <si>
    <t>Total regulated O&amp;M</t>
  </si>
  <si>
    <t>Less one-off costs</t>
  </si>
  <si>
    <t>Real input cost escalation</t>
  </si>
  <si>
    <t>n/a</t>
  </si>
  <si>
    <t>Opex partial factor productivity</t>
  </si>
  <si>
    <t>Network growth</t>
  </si>
  <si>
    <t>Below</t>
  </si>
  <si>
    <t>Calculated</t>
  </si>
  <si>
    <t>Base O&amp;M (A)</t>
  </si>
  <si>
    <t>Total O&amp;M (A + B + C) *</t>
  </si>
  <si>
    <t>Calc | Network growth</t>
  </si>
  <si>
    <t>Forecasts</t>
  </si>
  <si>
    <t>Demand - total</t>
  </si>
  <si>
    <t>Growth Rates</t>
  </si>
  <si>
    <t>Calc | Opex Forecast</t>
  </si>
  <si>
    <t>Actual</t>
  </si>
  <si>
    <t>Fcast</t>
  </si>
  <si>
    <t>Per cent</t>
  </si>
  <si>
    <t>$millions</t>
  </si>
  <si>
    <t>TJ</t>
  </si>
  <si>
    <t>number</t>
  </si>
  <si>
    <t>Real 2016</t>
  </si>
  <si>
    <t>Jan to Dec</t>
  </si>
  <si>
    <t>GAAR18 MG Opex Forecast Model</t>
  </si>
  <si>
    <t>[spare]</t>
  </si>
  <si>
    <t>Marketing</t>
  </si>
  <si>
    <t>Less UAFG</t>
  </si>
  <si>
    <t>Plus carbon tax</t>
  </si>
  <si>
    <t>Less licence fees</t>
  </si>
  <si>
    <t>[Add]</t>
  </si>
  <si>
    <t>Convert from 2016 dollars to 2017 dollars</t>
  </si>
  <si>
    <t>Real 2017</t>
  </si>
  <si>
    <t>Adjustmets</t>
  </si>
  <si>
    <t>Total Step Changes</t>
  </si>
  <si>
    <t>MG growth rate</t>
  </si>
  <si>
    <t>Calc | Real input cost escalation</t>
  </si>
  <si>
    <t>Escalation rates</t>
  </si>
  <si>
    <t>WPI (BIS Sharpnel)</t>
  </si>
  <si>
    <t>WPI (UE final decision)</t>
  </si>
  <si>
    <t>Labour</t>
  </si>
  <si>
    <t>MG real input cost escalation</t>
  </si>
  <si>
    <t>AER real input cost escalation</t>
  </si>
  <si>
    <t>MG network growth  rate</t>
  </si>
  <si>
    <t>Vaue</t>
  </si>
  <si>
    <t>Total Base</t>
  </si>
  <si>
    <t>Add 2016 to 2017 adjustment</t>
  </si>
  <si>
    <t>Sub Total</t>
  </si>
  <si>
    <t>Convert from mid to end of 2016 dollars (half year inflation)</t>
  </si>
  <si>
    <t>Less movement in provisions</t>
  </si>
  <si>
    <t>Base year opex</t>
  </si>
  <si>
    <t>Version 2</t>
  </si>
  <si>
    <t>Version 1</t>
  </si>
  <si>
    <t>MultiNet Gas 2018 to 2023 Opex forecast</t>
  </si>
  <si>
    <t>Regulatory allowance</t>
  </si>
  <si>
    <t>ECM calculation</t>
  </si>
  <si>
    <t>Current regulatory period (CY)</t>
  </si>
  <si>
    <t>$'000 2012</t>
  </si>
  <si>
    <t xml:space="preserve">Real to Real </t>
  </si>
  <si>
    <t>2nd Year</t>
  </si>
  <si>
    <t>1st Year</t>
  </si>
  <si>
    <t>Real to Nominal</t>
  </si>
  <si>
    <t>Nominal to Real</t>
  </si>
  <si>
    <t>Real year</t>
  </si>
  <si>
    <t>Nominal</t>
  </si>
  <si>
    <t>Stephanie Real</t>
  </si>
  <si>
    <t>Simone Real</t>
  </si>
  <si>
    <t>Nominal to Real 2006</t>
  </si>
  <si>
    <t>Real 2006 to Nominal</t>
  </si>
  <si>
    <t>Real 2012 to nominal</t>
  </si>
  <si>
    <t>Nominal to Real 2012</t>
  </si>
  <si>
    <t>Annual CPI % Change</t>
  </si>
  <si>
    <t>ABS Sept-14</t>
  </si>
  <si>
    <t>ABS Sept-15</t>
  </si>
  <si>
    <t>CPI Index</t>
  </si>
  <si>
    <t>Add difference between 2016 and 2017</t>
  </si>
  <si>
    <t>Step changes shown in scenario option in PTRM</t>
  </si>
  <si>
    <t>1. Input cost escalators</t>
  </si>
  <si>
    <t>2. Output Growth</t>
  </si>
  <si>
    <t>MG submission case</t>
  </si>
  <si>
    <t>TOTAL</t>
  </si>
  <si>
    <t xml:space="preserve">Base </t>
  </si>
  <si>
    <t>Output Growth</t>
  </si>
  <si>
    <t>Price Growth</t>
  </si>
  <si>
    <t xml:space="preserve">Productivity Growth </t>
  </si>
  <si>
    <t>Step Changes</t>
  </si>
  <si>
    <t>GSLs</t>
  </si>
  <si>
    <t>Debt raising costs</t>
  </si>
  <si>
    <t xml:space="preserve">Total  </t>
  </si>
  <si>
    <t>Version 3</t>
  </si>
  <si>
    <t>Table 14‑4 – Wage Price Index – 2018 to 2022 [1]</t>
  </si>
  <si>
    <t>Average</t>
  </si>
  <si>
    <t xml:space="preserve">Nominal Price Changes </t>
  </si>
  <si>
    <t>Electricity, Gas, Water and Waste Services – Victoria</t>
  </si>
  <si>
    <t xml:space="preserve">Contractor – Victoria </t>
  </si>
  <si>
    <t>Real Price Changes</t>
  </si>
  <si>
    <t>[1] BIS Shrapnel, “Utilities Sector and Construction Industry Wage Forecasts to 2022 – Australia and Victoria”, June 2016, page ii</t>
  </si>
  <si>
    <t>Version 5</t>
  </si>
  <si>
    <t>* this is actual 2016 expenditure (real 17)</t>
  </si>
  <si>
    <t>Network Growth</t>
  </si>
  <si>
    <t>Actual and estimated inflation</t>
  </si>
  <si>
    <t>Estimate</t>
  </si>
  <si>
    <t>ED_EBS751_00001</t>
  </si>
  <si>
    <t>ABS CPI index - December (old base)</t>
  </si>
  <si>
    <t>Inflation rate (per cent)</t>
  </si>
  <si>
    <t>ED_EBS751_00002</t>
  </si>
  <si>
    <t>ABS CPI index - December (rebased index in March 2012)</t>
  </si>
  <si>
    <t>Table 23.4.1.1 - Opex allowance applicable to Incentive Mechanism (Incentive Mechanism target)</t>
  </si>
  <si>
    <t>Previous period</t>
  </si>
  <si>
    <t>Current regulatory control period</t>
  </si>
  <si>
    <t>Forthcoming regulatory control period</t>
  </si>
  <si>
    <t>ED_EBS751_00003</t>
  </si>
  <si>
    <t>Total opex allowance</t>
  </si>
  <si>
    <t xml:space="preserve">Less approved excludable costs - allowance </t>
  </si>
  <si>
    <t>unaccounted for gas expenses (clause 6.4(j)(3))</t>
  </si>
  <si>
    <t>licence fees (clause 6.4(j)(4))</t>
  </si>
  <si>
    <t>debt raising costs (clause 6.4(j)(5))</t>
  </si>
  <si>
    <t>any other activity that Multinet and the Regulator agree to exclude from the operation of the efficiency carryover mechanism (clause 6.4(j)(7))</t>
  </si>
  <si>
    <t>ED_EBS751_00008</t>
  </si>
  <si>
    <t>Change in scale adjustment (clause 6.4(k)(2))</t>
  </si>
  <si>
    <t>Change in capitalisation policy (clause 6.4(l))</t>
  </si>
  <si>
    <t>ED_EBS751_00011</t>
  </si>
  <si>
    <t>Forecast opex for Incentive Mechanism purposes</t>
  </si>
  <si>
    <t>Table 23.4.1.2 - Actual and estimated opex applicable to Incentive Mechanism</t>
  </si>
  <si>
    <t>$m, Actual</t>
  </si>
  <si>
    <t>ED_EBS751_00012</t>
  </si>
  <si>
    <t>Total opex (actual)</t>
  </si>
  <si>
    <t>Less approved excludable costs</t>
  </si>
  <si>
    <t>ED_EBS751_00016</t>
  </si>
  <si>
    <t>costs associated with complying with any retailer of last resort requirements (clause 6.4(j)(1))</t>
  </si>
  <si>
    <t>ED_EBS751_00017</t>
  </si>
  <si>
    <t>amounts for approved Cost Pass Through Events (clause 6.4(j)(2))</t>
  </si>
  <si>
    <t>ED_EBS751_00018</t>
  </si>
  <si>
    <t>movements in provisions (clause 6.4(j)(6))</t>
  </si>
  <si>
    <t>ED_EBS751_00021</t>
  </si>
  <si>
    <t>Actual opex for Incentive Mechanism purposes</t>
  </si>
  <si>
    <t>Carryover</t>
  </si>
  <si>
    <t xml:space="preserve">Total </t>
  </si>
  <si>
    <t>Total Carryover Amount ($million, 2015-16)</t>
  </si>
  <si>
    <t>PTRM inputs</t>
  </si>
  <si>
    <t>Table 23.4.1.3 - Proposed forecast opex for the Incentive Mechanism for the forthcoming regulatory control period</t>
  </si>
  <si>
    <t xml:space="preserve"> </t>
  </si>
  <si>
    <t>Total</t>
  </si>
  <si>
    <t>ED_EBS752_00001</t>
  </si>
  <si>
    <t>Forecast opex ($million, 2017)</t>
  </si>
  <si>
    <t xml:space="preserve">Less excluded costs </t>
  </si>
  <si>
    <t>ED_EBS752_00002</t>
  </si>
  <si>
    <t>&lt; Enter category proposed for exclusion &gt;  eg. Debt raising costs</t>
  </si>
  <si>
    <t>ED_EBS752_00003</t>
  </si>
  <si>
    <t>&lt;category proposed for exclusion&gt;</t>
  </si>
  <si>
    <t>ED_EBS752_00004</t>
  </si>
  <si>
    <t>ED_EBS752_00005</t>
  </si>
  <si>
    <t>ED_EBS752_00006</t>
  </si>
  <si>
    <t>ED_EBS752_00007</t>
  </si>
  <si>
    <t>ED_EBS752_00008</t>
  </si>
  <si>
    <t>ED_EBS752_00009</t>
  </si>
  <si>
    <t>ED_EBS752_00010</t>
  </si>
  <si>
    <t>ED_EBS752_00011</t>
  </si>
  <si>
    <t>ED_EBS752_99999</t>
  </si>
  <si>
    <t>Adjusted forecast opex ($million, 2015-16)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</si>
</sst>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-* #,##0.0_-;\-* #,##0.0_-;_-* &quot;-&quot;??_-;_-@_-"/>
    <numFmt numFmtId="167" formatCode="_(#,##0.0%_);\(#,##0.0%\);_(&quot;-&quot;_)"/>
    <numFmt numFmtId="168" formatCode="0.0%"/>
    <numFmt numFmtId="169" formatCode="0.000"/>
    <numFmt numFmtId="170" formatCode="0.000%"/>
    <numFmt numFmtId="171" formatCode="0.000000"/>
    <numFmt numFmtId="172" formatCode="_(#,##0_);\(#,##0\);_(&quot;-&quot;_)"/>
    <numFmt numFmtId="173" formatCode="_(#,##0.00_);\(#,##0.00\);_(&quot;-&quot;_)"/>
    <numFmt numFmtId="174" formatCode="_(#,##0.00%_);\(#,##0.00%\);_(&quot;-&quot;_)"/>
    <numFmt numFmtId="175" formatCode="_(#,##0.0_);\(#,##0.0\);_(&quot;-&quot;_)"/>
    <numFmt numFmtId="176" formatCode="dd/mmm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##0_);\(###0\);_(###0_)"/>
    <numFmt numFmtId="189" formatCode="#,##0.0000_);[Red]\(#,##0.0000\)"/>
    <numFmt numFmtId="190" formatCode="&quot;Warning&quot;;&quot;Warning&quot;;&quot;OK&quot;"/>
    <numFmt numFmtId="191" formatCode="#,##0;\(#,##0\);\-"/>
    <numFmt numFmtId="192" formatCode="_(* #,##0.0_);_(* \(#,##0.0\);_(* &quot;-&quot;??_);_(@_)"/>
    <numFmt numFmtId="193" formatCode="0.000000000000%"/>
    <numFmt numFmtId="194" formatCode="_-* #,##0.00000_-;\-* #,##0.00000_-;_-* &quot;-&quot;??_-;_-@_-"/>
    <numFmt numFmtId="195" formatCode="_-* #,##0.0_-;[Red]* \(#,##0.0\)_-;_-* &quot;-&quot;??_-;_-@_-"/>
    <numFmt numFmtId="196" formatCode="_-* #,##0.000_-;\-* #,##0.000_-;_-* &quot;-&quot;??_-;_-@_-"/>
    <numFmt numFmtId="197" formatCode="0.0"/>
    <numFmt numFmtId="198" formatCode="_(* #,##0.00_);_(* \(#,##0.00\);_(* &quot;-&quot;??_);_(@_)"/>
    <numFmt numFmtId="199" formatCode="#,##0.0_ ;\-#,##0.0\ "/>
    <numFmt numFmtId="200" formatCode="#,##0_ ;\(#,##0\)_ 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Trebuchet MS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i/>
      <sz val="8"/>
      <color indexed="9"/>
      <name val="Arial"/>
      <family val="2"/>
    </font>
    <font>
      <i/>
      <sz val="8"/>
      <color indexed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u/>
      <sz val="8"/>
      <color theme="10"/>
      <name val="Arial"/>
      <family val="2"/>
    </font>
    <font>
      <i/>
      <u/>
      <sz val="8"/>
      <color theme="10"/>
      <name val="Arial"/>
      <family val="2"/>
    </font>
    <font>
      <sz val="8"/>
      <name val="Arial"/>
      <family val="2"/>
    </font>
    <font>
      <b/>
      <i/>
      <u/>
      <sz val="8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5" tint="-0.49998474074526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i/>
      <sz val="12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 Narrow"/>
      <family val="2"/>
    </font>
    <font>
      <b/>
      <i/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rgb="FFF1F1F2"/>
      <name val="Arial Narrow"/>
      <family val="2"/>
    </font>
    <font>
      <sz val="9"/>
      <name val="Arial Narrow"/>
      <family val="2"/>
    </font>
    <font>
      <b/>
      <sz val="9"/>
      <color rgb="FFE7E6E6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color theme="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sz val="11"/>
      <color theme="1"/>
      <name val="Arial"/>
      <family val="2"/>
    </font>
    <font>
      <vertAlign val="superscript"/>
      <sz val="5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E61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</fills>
  <borders count="1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auto="1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</borders>
  <cellStyleXfs count="30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2" borderId="0" applyFont="0" applyBorder="0" applyAlignment="0">
      <alignment horizontal="right"/>
      <protection locked="0"/>
    </xf>
    <xf numFmtId="41" fontId="5" fillId="3" borderId="0" applyFont="0" applyBorder="0">
      <alignment horizontal="right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8" fillId="0" borderId="3">
      <alignment vertical="center"/>
      <protection locked="0"/>
    </xf>
    <xf numFmtId="0" fontId="6" fillId="4" borderId="2">
      <alignment vertical="center"/>
    </xf>
    <xf numFmtId="10" fontId="9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2" borderId="0" applyFont="0" applyBorder="0" applyAlignment="0">
      <alignment horizontal="right"/>
      <protection locked="0"/>
    </xf>
    <xf numFmtId="41" fontId="5" fillId="3" borderId="0" applyFont="0" applyBorder="0">
      <alignment horizontal="right"/>
      <protection locked="0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4" applyNumberFormat="0" applyFont="0" applyFill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7" fillId="0" borderId="0"/>
    <xf numFmtId="0" fontId="32" fillId="0" borderId="0" applyNumberFormat="0" applyFill="0" applyBorder="0" applyAlignment="0" applyProtection="0"/>
    <xf numFmtId="172" fontId="34" fillId="0" borderId="3">
      <alignment horizontal="right" vertical="center"/>
      <protection locked="0"/>
    </xf>
    <xf numFmtId="9" fontId="17" fillId="0" borderId="0" applyFont="0" applyFill="0" applyBorder="0" applyAlignment="0" applyProtection="0"/>
    <xf numFmtId="176" fontId="3" fillId="21" borderId="0" applyProtection="0"/>
    <xf numFmtId="9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34" fillId="0" borderId="0"/>
    <xf numFmtId="177" fontId="34" fillId="0" borderId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9" fillId="0" borderId="0"/>
    <xf numFmtId="42" fontId="40" fillId="0" borderId="0" applyFont="0" applyFill="0" applyBorder="0" applyAlignment="0" applyProtection="0"/>
    <xf numFmtId="0" fontId="41" fillId="42" borderId="0" applyNumberFormat="0" applyBorder="0" applyAlignment="0" applyProtection="0"/>
    <xf numFmtId="0" fontId="42" fillId="0" borderId="0" applyNumberFormat="0" applyFill="0" applyBorder="0" applyAlignment="0"/>
    <xf numFmtId="41" fontId="5" fillId="10" borderId="0" applyNumberFormat="0" applyFont="0" applyBorder="0" applyAlignment="0">
      <alignment horizontal="right"/>
    </xf>
    <xf numFmtId="41" fontId="5" fillId="10" borderId="0" applyNumberFormat="0" applyFont="0" applyBorder="0" applyAlignment="0">
      <alignment horizontal="right"/>
    </xf>
    <xf numFmtId="0" fontId="43" fillId="0" borderId="0" applyNumberFormat="0" applyFill="0" applyBorder="0" applyAlignment="0">
      <protection locked="0"/>
    </xf>
    <xf numFmtId="0" fontId="44" fillId="26" borderId="15" applyNumberFormat="0" applyAlignment="0" applyProtection="0"/>
    <xf numFmtId="0" fontId="45" fillId="43" borderId="16" applyNumberFormat="0" applyAlignment="0" applyProtection="0"/>
    <xf numFmtId="4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179" fontId="3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51" fillId="0" borderId="0"/>
    <xf numFmtId="0" fontId="52" fillId="0" borderId="0"/>
    <xf numFmtId="0" fontId="53" fillId="47" borderId="0" applyNumberFormat="0" applyBorder="0" applyAlignment="0" applyProtection="0"/>
    <xf numFmtId="0" fontId="6" fillId="0" borderId="0" applyFill="0" applyBorder="0">
      <alignment vertical="center"/>
    </xf>
    <xf numFmtId="0" fontId="54" fillId="0" borderId="17" applyNumberFormat="0" applyFill="0" applyAlignment="0" applyProtection="0"/>
    <xf numFmtId="0" fontId="6" fillId="0" borderId="0" applyFill="0" applyBorder="0">
      <alignment vertical="center"/>
    </xf>
    <xf numFmtId="0" fontId="55" fillId="0" borderId="0" applyFill="0" applyBorder="0">
      <alignment vertical="center"/>
    </xf>
    <xf numFmtId="0" fontId="56" fillId="0" borderId="18" applyNumberFormat="0" applyFill="0" applyAlignment="0" applyProtection="0"/>
    <xf numFmtId="0" fontId="55" fillId="0" borderId="0" applyFill="0" applyBorder="0">
      <alignment vertical="center"/>
    </xf>
    <xf numFmtId="0" fontId="20" fillId="0" borderId="0" applyFill="0" applyBorder="0">
      <alignment vertical="center"/>
    </xf>
    <xf numFmtId="0" fontId="57" fillId="0" borderId="19" applyNumberFormat="0" applyFill="0" applyAlignment="0" applyProtection="0"/>
    <xf numFmtId="0" fontId="20" fillId="0" borderId="0" applyFill="0" applyBorder="0">
      <alignment vertical="center"/>
    </xf>
    <xf numFmtId="0" fontId="34" fillId="0" borderId="0" applyFill="0" applyBorder="0">
      <alignment vertical="center"/>
    </xf>
    <xf numFmtId="0" fontId="57" fillId="0" borderId="0" applyNumberFormat="0" applyFill="0" applyBorder="0" applyAlignment="0" applyProtection="0"/>
    <xf numFmtId="0" fontId="34" fillId="0" borderId="0" applyFill="0" applyBorder="0">
      <alignment vertical="center"/>
    </xf>
    <xf numFmtId="168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24" borderId="15" applyNumberFormat="0" applyAlignment="0" applyProtection="0"/>
    <xf numFmtId="41" fontId="5" fillId="48" borderId="0" applyFont="0" applyBorder="0" applyAlignment="0">
      <alignment horizontal="right"/>
      <protection locked="0"/>
    </xf>
    <xf numFmtId="41" fontId="5" fillId="48" borderId="0" applyFont="0" applyBorder="0" applyAlignment="0">
      <alignment horizontal="right"/>
      <protection locked="0"/>
    </xf>
    <xf numFmtId="181" fontId="5" fillId="12" borderId="0" applyFont="0" applyBorder="0">
      <alignment horizontal="right"/>
      <protection locked="0"/>
    </xf>
    <xf numFmtId="181" fontId="5" fillId="12" borderId="0" applyFont="0" applyBorder="0">
      <alignment horizontal="right"/>
      <protection locked="0"/>
    </xf>
    <xf numFmtId="0" fontId="34" fillId="10" borderId="0"/>
    <xf numFmtId="0" fontId="63" fillId="0" borderId="20" applyNumberFormat="0" applyFill="0" applyAlignment="0" applyProtection="0"/>
    <xf numFmtId="182" fontId="64" fillId="0" borderId="0"/>
    <xf numFmtId="0" fontId="7" fillId="0" borderId="0" applyFill="0" applyBorder="0">
      <alignment horizontal="left" vertical="center"/>
    </xf>
    <xf numFmtId="0" fontId="65" fillId="27" borderId="0" applyNumberFormat="0" applyBorder="0" applyAlignment="0" applyProtection="0"/>
    <xf numFmtId="183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40" fillId="0" borderId="0"/>
    <xf numFmtId="0" fontId="5" fillId="16" borderId="0"/>
    <xf numFmtId="0" fontId="1" fillId="0" borderId="0"/>
    <xf numFmtId="0" fontId="5" fillId="0" borderId="0"/>
    <xf numFmtId="0" fontId="5" fillId="25" borderId="21" applyNumberFormat="0" applyFont="0" applyAlignment="0" applyProtection="0"/>
    <xf numFmtId="0" fontId="67" fillId="26" borderId="22" applyNumberFormat="0" applyAlignment="0" applyProtection="0"/>
    <xf numFmtId="184" fontId="5" fillId="0" borderId="0" applyFill="0" applyBorder="0"/>
    <xf numFmtId="184" fontId="5" fillId="0" borderId="0" applyFill="0" applyBorder="0"/>
    <xf numFmtId="184" fontId="5" fillId="0" borderId="0" applyFill="0" applyBorder="0"/>
    <xf numFmtId="9" fontId="17" fillId="0" borderId="0" applyFont="0" applyFill="0" applyBorder="0" applyAlignment="0" applyProtection="0"/>
    <xf numFmtId="0" fontId="17" fillId="0" borderId="0"/>
    <xf numFmtId="9" fontId="5" fillId="0" borderId="0" applyFont="0" applyFill="0" applyBorder="0" applyAlignment="0" applyProtection="0"/>
    <xf numFmtId="168" fontId="68" fillId="0" borderId="0"/>
    <xf numFmtId="0" fontId="20" fillId="0" borderId="0" applyFill="0" applyBorder="0">
      <alignment vertical="center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85" fontId="69" fillId="0" borderId="23"/>
    <xf numFmtId="0" fontId="70" fillId="0" borderId="24">
      <alignment horizontal="center"/>
    </xf>
    <xf numFmtId="3" fontId="46" fillId="0" borderId="0" applyFont="0" applyFill="0" applyBorder="0" applyAlignment="0" applyProtection="0"/>
    <xf numFmtId="0" fontId="46" fillId="49" borderId="0" applyNumberFormat="0" applyFont="0" applyBorder="0" applyAlignment="0" applyProtection="0"/>
    <xf numFmtId="186" fontId="5" fillId="0" borderId="0"/>
    <xf numFmtId="186" fontId="5" fillId="0" borderId="0"/>
    <xf numFmtId="186" fontId="5" fillId="0" borderId="0"/>
    <xf numFmtId="187" fontId="34" fillId="0" borderId="0" applyFill="0" applyBorder="0">
      <alignment horizontal="right" vertical="center"/>
    </xf>
    <xf numFmtId="175" fontId="34" fillId="0" borderId="0" applyFill="0" applyBorder="0">
      <alignment horizontal="right" vertical="center"/>
    </xf>
    <xf numFmtId="188" fontId="34" fillId="0" borderId="0" applyFill="0" applyBorder="0">
      <alignment horizontal="right" vertical="center"/>
    </xf>
    <xf numFmtId="0" fontId="5" fillId="25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26" borderId="0" applyNumberFormat="0" applyFont="0" applyBorder="0" applyAlignment="0" applyProtection="0"/>
    <xf numFmtId="0" fontId="5" fillId="26" borderId="0" applyNumberFormat="0" applyFont="0" applyBorder="0" applyAlignment="0" applyProtection="0"/>
    <xf numFmtId="0" fontId="5" fillId="28" borderId="0" applyNumberFormat="0" applyFont="0" applyBorder="0" applyAlignment="0" applyProtection="0"/>
    <xf numFmtId="0" fontId="5" fillId="28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28" borderId="0" applyNumberFormat="0" applyFont="0" applyBorder="0" applyAlignment="0" applyProtection="0"/>
    <xf numFmtId="0" fontId="5" fillId="28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7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72" fillId="22" borderId="11" applyBorder="0" applyProtection="0">
      <alignment horizontal="centerContinuous" vertical="center"/>
    </xf>
    <xf numFmtId="0" fontId="73" fillId="0" borderId="0" applyBorder="0" applyProtection="0">
      <alignment vertical="center"/>
    </xf>
    <xf numFmtId="0" fontId="74" fillId="0" borderId="0">
      <alignment horizontal="left"/>
    </xf>
    <xf numFmtId="0" fontId="74" fillId="0" borderId="6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75" fillId="0" borderId="0"/>
    <xf numFmtId="49" fontId="5" fillId="0" borderId="0" applyFont="0" applyFill="0" applyBorder="0" applyAlignment="0" applyProtection="0"/>
    <xf numFmtId="0" fontId="76" fillId="0" borderId="0"/>
    <xf numFmtId="0" fontId="76" fillId="0" borderId="0"/>
    <xf numFmtId="0" fontId="75" fillId="0" borderId="0"/>
    <xf numFmtId="182" fontId="77" fillId="0" borderId="0"/>
    <xf numFmtId="0" fontId="71" fillId="0" borderId="0" applyNumberFormat="0" applyFill="0" applyBorder="0" applyAlignment="0" applyProtection="0"/>
    <xf numFmtId="0" fontId="78" fillId="0" borderId="0" applyFill="0" applyBorder="0">
      <alignment horizontal="left" vertical="center"/>
      <protection locked="0"/>
    </xf>
    <xf numFmtId="0" fontId="75" fillId="0" borderId="0"/>
    <xf numFmtId="0" fontId="79" fillId="0" borderId="0" applyFill="0" applyBorder="0">
      <alignment horizontal="left" vertical="center"/>
      <protection locked="0"/>
    </xf>
    <xf numFmtId="0" fontId="49" fillId="0" borderId="25" applyNumberFormat="0" applyFill="0" applyAlignment="0" applyProtection="0"/>
    <xf numFmtId="0" fontId="80" fillId="0" borderId="0" applyNumberFormat="0" applyFill="0" applyBorder="0" applyAlignment="0" applyProtection="0"/>
    <xf numFmtId="189" fontId="5" fillId="0" borderId="11" applyBorder="0" applyProtection="0">
      <alignment horizontal="right"/>
    </xf>
    <xf numFmtId="189" fontId="5" fillId="0" borderId="11" applyBorder="0" applyProtection="0">
      <alignment horizontal="right"/>
    </xf>
    <xf numFmtId="189" fontId="5" fillId="0" borderId="11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1" fillId="20" borderId="0"/>
    <xf numFmtId="190" fontId="82" fillId="0" borderId="26">
      <alignment horizontal="center"/>
    </xf>
    <xf numFmtId="0" fontId="83" fillId="50" borderId="14">
      <alignment horizontal="center" vertical="center"/>
    </xf>
    <xf numFmtId="0" fontId="5" fillId="51" borderId="15"/>
    <xf numFmtId="0" fontId="84" fillId="0" borderId="0" applyFill="0" applyBorder="0"/>
    <xf numFmtId="0" fontId="85" fillId="0" borderId="0" applyNumberFormat="0" applyFill="0"/>
    <xf numFmtId="0" fontId="86" fillId="0" borderId="0" applyFill="0"/>
    <xf numFmtId="0" fontId="87" fillId="0" borderId="0" applyFill="0"/>
    <xf numFmtId="0" fontId="88" fillId="0" borderId="0" applyFill="0"/>
    <xf numFmtId="0" fontId="81" fillId="52" borderId="0"/>
    <xf numFmtId="0" fontId="5" fillId="5" borderId="27" applyNumberFormat="0" applyFont="0" applyAlignment="0"/>
    <xf numFmtId="0" fontId="89" fillId="21" borderId="28" applyNumberFormat="0"/>
    <xf numFmtId="0" fontId="90" fillId="53" borderId="0"/>
    <xf numFmtId="0" fontId="19" fillId="53" borderId="0" applyNumberFormat="0"/>
    <xf numFmtId="0" fontId="91" fillId="53" borderId="0"/>
    <xf numFmtId="0" fontId="92" fillId="54" borderId="14" applyNumberFormat="0">
      <alignment horizontal="center" vertical="center"/>
    </xf>
    <xf numFmtId="0" fontId="4" fillId="55" borderId="15" applyNumberFormat="0" applyAlignment="0">
      <alignment horizontal="right"/>
    </xf>
    <xf numFmtId="0" fontId="6" fillId="5" borderId="27" applyNumberFormat="0" applyAlignment="0"/>
    <xf numFmtId="0" fontId="82" fillId="0" borderId="0" applyNumberFormat="0" applyFill="0" applyBorder="0"/>
    <xf numFmtId="0" fontId="93" fillId="6" borderId="27" applyNumberFormat="0">
      <protection locked="0"/>
    </xf>
    <xf numFmtId="44" fontId="1" fillId="0" borderId="0" applyFont="0" applyFill="0" applyBorder="0" applyAlignment="0" applyProtection="0"/>
    <xf numFmtId="0" fontId="95" fillId="57" borderId="0" applyNumberFormat="0" applyBorder="0" applyAlignment="0" applyProtection="0"/>
  </cellStyleXfs>
  <cellXfs count="556">
    <xf numFmtId="0" fontId="0" fillId="0" borderId="0" xfId="0"/>
    <xf numFmtId="0" fontId="0" fillId="0" borderId="0" xfId="0"/>
    <xf numFmtId="0" fontId="0" fillId="5" borderId="0" xfId="0" applyFill="1"/>
    <xf numFmtId="0" fontId="0" fillId="5" borderId="0" xfId="0" applyFill="1" applyAlignment="1">
      <alignment vertical="center" textRotation="90"/>
    </xf>
    <xf numFmtId="0" fontId="2" fillId="5" borderId="0" xfId="0" applyFont="1" applyFill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3" fontId="12" fillId="5" borderId="2" xfId="0" applyNumberFormat="1" applyFont="1" applyFill="1" applyBorder="1" applyAlignment="1">
      <alignment horizontal="center" vertical="center"/>
    </xf>
    <xf numFmtId="3" fontId="12" fillId="5" borderId="5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0" fontId="12" fillId="5" borderId="0" xfId="2" applyNumberFormat="1" applyFont="1" applyFill="1" applyAlignment="1">
      <alignment vertical="center"/>
    </xf>
    <xf numFmtId="1" fontId="12" fillId="5" borderId="0" xfId="2" applyNumberFormat="1" applyFont="1" applyFill="1" applyAlignment="1">
      <alignment horizontal="center" vertical="center"/>
    </xf>
    <xf numFmtId="1" fontId="12" fillId="5" borderId="6" xfId="2" applyNumberFormat="1" applyFont="1" applyFill="1" applyBorder="1" applyAlignment="1">
      <alignment horizontal="center" vertical="center"/>
    </xf>
    <xf numFmtId="168" fontId="12" fillId="5" borderId="0" xfId="2" applyNumberFormat="1" applyFont="1" applyFill="1" applyAlignment="1">
      <alignment horizontal="left" vertical="center"/>
    </xf>
    <xf numFmtId="169" fontId="12" fillId="5" borderId="0" xfId="2" applyNumberFormat="1" applyFont="1" applyFill="1" applyAlignment="1">
      <alignment horizontal="center" vertical="center"/>
    </xf>
    <xf numFmtId="170" fontId="12" fillId="5" borderId="6" xfId="2" applyNumberFormat="1" applyFont="1" applyFill="1" applyBorder="1" applyAlignment="1">
      <alignment horizontal="center" vertical="center"/>
    </xf>
    <xf numFmtId="170" fontId="12" fillId="5" borderId="0" xfId="2" applyNumberFormat="1" applyFont="1" applyFill="1" applyAlignment="1">
      <alignment horizontal="center" vertical="center"/>
    </xf>
    <xf numFmtId="168" fontId="12" fillId="5" borderId="0" xfId="0" applyNumberFormat="1" applyFont="1" applyFill="1" applyAlignment="1">
      <alignment horizontal="left" vertical="center"/>
    </xf>
    <xf numFmtId="169" fontId="12" fillId="5" borderId="6" xfId="2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center" vertical="center"/>
    </xf>
    <xf numFmtId="10" fontId="12" fillId="7" borderId="2" xfId="2" applyNumberFormat="1" applyFont="1" applyFill="1" applyBorder="1" applyAlignment="1">
      <alignment horizontal="center" vertical="center"/>
    </xf>
    <xf numFmtId="10" fontId="12" fillId="7" borderId="5" xfId="2" applyNumberFormat="1" applyFont="1" applyFill="1" applyBorder="1" applyAlignment="1">
      <alignment horizontal="center" vertical="center"/>
    </xf>
    <xf numFmtId="10" fontId="0" fillId="5" borderId="0" xfId="0" applyNumberFormat="1" applyFill="1"/>
    <xf numFmtId="0" fontId="0" fillId="0" borderId="0" xfId="0" applyFill="1"/>
    <xf numFmtId="0" fontId="15" fillId="5" borderId="0" xfId="0" applyFont="1" applyFill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9" fontId="0" fillId="0" borderId="0" xfId="0" applyNumberFormat="1" applyFont="1" applyFill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69" fontId="16" fillId="5" borderId="2" xfId="0" applyNumberFormat="1" applyFont="1" applyFill="1" applyBorder="1" applyAlignment="1">
      <alignment horizontal="center" vertical="center"/>
    </xf>
    <xf numFmtId="171" fontId="16" fillId="5" borderId="2" xfId="0" applyNumberFormat="1" applyFont="1" applyFill="1" applyBorder="1" applyAlignment="1">
      <alignment horizontal="center" vertical="center"/>
    </xf>
    <xf numFmtId="171" fontId="16" fillId="5" borderId="5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right" vertical="top"/>
    </xf>
    <xf numFmtId="0" fontId="13" fillId="5" borderId="0" xfId="0" applyFont="1" applyFill="1" applyAlignment="1">
      <alignment horizontal="left" vertical="top" wrapText="1"/>
    </xf>
    <xf numFmtId="169" fontId="16" fillId="5" borderId="0" xfId="0" applyNumberFormat="1" applyFont="1" applyFill="1" applyAlignment="1">
      <alignment horizontal="center" vertical="center"/>
    </xf>
    <xf numFmtId="169" fontId="16" fillId="5" borderId="6" xfId="0" applyNumberFormat="1" applyFont="1" applyFill="1" applyBorder="1" applyAlignment="1">
      <alignment horizontal="center" vertical="center"/>
    </xf>
    <xf numFmtId="171" fontId="16" fillId="5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top"/>
    </xf>
    <xf numFmtId="0" fontId="13" fillId="5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169" fontId="13" fillId="5" borderId="0" xfId="2" applyNumberFormat="1" applyFont="1" applyFill="1" applyAlignment="1">
      <alignment horizontal="center" vertical="top"/>
    </xf>
    <xf numFmtId="169" fontId="13" fillId="5" borderId="6" xfId="2" applyNumberFormat="1" applyFont="1" applyFill="1" applyBorder="1" applyAlignment="1">
      <alignment horizontal="center" vertical="top"/>
    </xf>
    <xf numFmtId="171" fontId="13" fillId="5" borderId="0" xfId="2" applyNumberFormat="1" applyFont="1" applyFill="1" applyAlignment="1">
      <alignment horizontal="center" vertical="top"/>
    </xf>
    <xf numFmtId="9" fontId="12" fillId="5" borderId="0" xfId="0" applyNumberFormat="1" applyFont="1" applyFill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169" fontId="12" fillId="5" borderId="2" xfId="2" applyNumberFormat="1" applyFont="1" applyFill="1" applyBorder="1" applyAlignment="1">
      <alignment horizontal="center" vertical="center"/>
    </xf>
    <xf numFmtId="169" fontId="12" fillId="5" borderId="5" xfId="2" applyNumberFormat="1" applyFont="1" applyFill="1" applyBorder="1" applyAlignment="1">
      <alignment horizontal="center" vertical="center"/>
    </xf>
    <xf numFmtId="171" fontId="12" fillId="5" borderId="2" xfId="2" applyNumberFormat="1" applyFont="1" applyFill="1" applyBorder="1" applyAlignment="1">
      <alignment horizontal="center" vertical="center"/>
    </xf>
    <xf numFmtId="171" fontId="12" fillId="5" borderId="0" xfId="2" applyNumberFormat="1" applyFont="1" applyFill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164" fontId="12" fillId="7" borderId="2" xfId="2" applyNumberFormat="1" applyFont="1" applyFill="1" applyBorder="1" applyAlignment="1">
      <alignment horizontal="center" vertical="center"/>
    </xf>
    <xf numFmtId="0" fontId="0" fillId="5" borderId="2" xfId="0" applyFill="1" applyBorder="1"/>
    <xf numFmtId="2" fontId="0" fillId="5" borderId="2" xfId="0" applyNumberFormat="1" applyFill="1" applyBorder="1"/>
    <xf numFmtId="2" fontId="0" fillId="5" borderId="0" xfId="0" applyNumberFormat="1" applyFill="1"/>
    <xf numFmtId="0" fontId="18" fillId="9" borderId="0" xfId="49" applyFont="1" applyFill="1" applyBorder="1"/>
    <xf numFmtId="0" fontId="19" fillId="9" borderId="0" xfId="49" applyFont="1" applyFill="1" applyBorder="1" applyAlignment="1">
      <alignment horizontal="left" indent="9"/>
    </xf>
    <xf numFmtId="0" fontId="18" fillId="9" borderId="0" xfId="49" applyFont="1" applyFill="1" applyBorder="1" applyAlignment="1">
      <alignment horizontal="right"/>
    </xf>
    <xf numFmtId="0" fontId="3" fillId="10" borderId="0" xfId="49" applyFont="1" applyFill="1" applyBorder="1" applyAlignment="1">
      <alignment horizontal="center"/>
    </xf>
    <xf numFmtId="0" fontId="3" fillId="11" borderId="0" xfId="49" applyFont="1" applyFill="1" applyBorder="1"/>
    <xf numFmtId="0" fontId="3" fillId="12" borderId="0" xfId="49" applyFont="1" applyFill="1" applyBorder="1"/>
    <xf numFmtId="0" fontId="18" fillId="9" borderId="9" xfId="49" applyFont="1" applyFill="1" applyBorder="1"/>
    <xf numFmtId="0" fontId="21" fillId="9" borderId="9" xfId="49" applyFont="1" applyFill="1" applyBorder="1" applyAlignment="1">
      <alignment horizontal="left" indent="9"/>
    </xf>
    <xf numFmtId="0" fontId="22" fillId="9" borderId="10" xfId="49" applyNumberFormat="1" applyFont="1" applyFill="1" applyBorder="1"/>
    <xf numFmtId="0" fontId="22" fillId="9" borderId="10" xfId="49" applyFont="1" applyFill="1" applyBorder="1"/>
    <xf numFmtId="0" fontId="23" fillId="9" borderId="10" xfId="49" applyNumberFormat="1" applyFont="1" applyFill="1" applyBorder="1" applyAlignment="1">
      <alignment horizontal="center"/>
    </xf>
    <xf numFmtId="0" fontId="24" fillId="14" borderId="10" xfId="49" applyNumberFormat="1" applyFont="1" applyFill="1" applyBorder="1" applyAlignment="1">
      <alignment horizontal="center"/>
    </xf>
    <xf numFmtId="0" fontId="23" fillId="9" borderId="10" xfId="49" applyNumberFormat="1" applyFont="1" applyFill="1" applyBorder="1"/>
    <xf numFmtId="0" fontId="25" fillId="9" borderId="10" xfId="49" applyNumberFormat="1" applyFont="1" applyFill="1" applyBorder="1" applyAlignment="1">
      <alignment horizontal="right"/>
    </xf>
    <xf numFmtId="165" fontId="3" fillId="16" borderId="0" xfId="49" applyNumberFormat="1" applyFont="1" applyFill="1"/>
    <xf numFmtId="165" fontId="26" fillId="16" borderId="0" xfId="49" applyNumberFormat="1" applyFont="1" applyFill="1" applyAlignment="1">
      <alignment horizontal="center"/>
    </xf>
    <xf numFmtId="165" fontId="27" fillId="9" borderId="0" xfId="49" applyNumberFormat="1" applyFont="1" applyFill="1"/>
    <xf numFmtId="165" fontId="28" fillId="9" borderId="0" xfId="49" applyNumberFormat="1" applyFont="1" applyFill="1" applyAlignment="1">
      <alignment horizontal="left"/>
    </xf>
    <xf numFmtId="165" fontId="27" fillId="9" borderId="0" xfId="49" applyNumberFormat="1" applyFont="1" applyFill="1" applyAlignment="1"/>
    <xf numFmtId="165" fontId="29" fillId="9" borderId="0" xfId="49" applyNumberFormat="1" applyFont="1" applyFill="1" applyAlignment="1">
      <alignment horizontal="center"/>
    </xf>
    <xf numFmtId="165" fontId="3" fillId="0" borderId="0" xfId="49" applyNumberFormat="1" applyFont="1"/>
    <xf numFmtId="165" fontId="26" fillId="0" borderId="0" xfId="49" applyNumberFormat="1" applyFont="1" applyAlignment="1">
      <alignment horizontal="center"/>
    </xf>
    <xf numFmtId="165" fontId="3" fillId="0" borderId="0" xfId="49" applyNumberFormat="1" applyFont="1" applyBorder="1" applyAlignment="1">
      <alignment horizontal="center"/>
    </xf>
    <xf numFmtId="165" fontId="3" fillId="0" borderId="0" xfId="49" applyNumberFormat="1" applyFont="1" applyAlignment="1">
      <alignment horizontal="center"/>
    </xf>
    <xf numFmtId="165" fontId="30" fillId="0" borderId="0" xfId="49" applyNumberFormat="1" applyFont="1" applyFill="1" applyBorder="1"/>
    <xf numFmtId="165" fontId="31" fillId="0" borderId="0" xfId="49" applyNumberFormat="1" applyFont="1" applyAlignment="1">
      <alignment horizontal="center"/>
    </xf>
    <xf numFmtId="165" fontId="26" fillId="0" borderId="0" xfId="49" applyNumberFormat="1" applyFont="1" applyFill="1" applyAlignment="1">
      <alignment horizontal="center"/>
    </xf>
    <xf numFmtId="165" fontId="3" fillId="0" borderId="0" xfId="49" applyNumberFormat="1" applyFont="1" applyFill="1" applyAlignment="1">
      <alignment horizontal="center"/>
    </xf>
    <xf numFmtId="165" fontId="30" fillId="0" borderId="11" xfId="49" applyNumberFormat="1" applyFont="1" applyBorder="1" applyAlignment="1">
      <alignment horizontal="center"/>
    </xf>
    <xf numFmtId="165" fontId="3" fillId="0" borderId="0" xfId="49" applyNumberFormat="1" applyFont="1" applyBorder="1" applyAlignment="1">
      <alignment horizontal="left" indent="1"/>
    </xf>
    <xf numFmtId="165" fontId="26" fillId="0" borderId="0" xfId="49" applyNumberFormat="1" applyFont="1" applyBorder="1" applyAlignment="1">
      <alignment horizontal="left"/>
    </xf>
    <xf numFmtId="165" fontId="33" fillId="0" borderId="0" xfId="50" applyNumberFormat="1" applyFont="1" applyFill="1" applyAlignment="1">
      <alignment horizontal="center"/>
    </xf>
    <xf numFmtId="173" fontId="34" fillId="17" borderId="0" xfId="51" applyNumberFormat="1" applyFont="1" applyFill="1" applyBorder="1" applyAlignment="1" applyProtection="1">
      <alignment horizontal="center" vertical="center"/>
    </xf>
    <xf numFmtId="165" fontId="3" fillId="0" borderId="0" xfId="49" applyNumberFormat="1" applyFont="1" applyAlignment="1">
      <alignment horizontal="left" indent="1"/>
    </xf>
    <xf numFmtId="174" fontId="34" fillId="17" borderId="0" xfId="52" applyNumberFormat="1" applyFont="1" applyFill="1" applyBorder="1" applyAlignment="1" applyProtection="1">
      <alignment horizontal="center" vertical="center"/>
    </xf>
    <xf numFmtId="174" fontId="3" fillId="0" borderId="0" xfId="52" applyNumberFormat="1" applyFont="1" applyFill="1" applyAlignment="1">
      <alignment horizontal="center"/>
    </xf>
    <xf numFmtId="10" fontId="3" fillId="0" borderId="0" xfId="52" applyNumberFormat="1" applyFont="1" applyFill="1" applyAlignment="1">
      <alignment horizontal="center"/>
    </xf>
    <xf numFmtId="174" fontId="30" fillId="0" borderId="0" xfId="52" applyNumberFormat="1" applyFont="1" applyFill="1" applyAlignment="1">
      <alignment horizontal="center"/>
    </xf>
    <xf numFmtId="165" fontId="30" fillId="0" borderId="7" xfId="49" applyNumberFormat="1" applyFont="1" applyBorder="1" applyAlignment="1">
      <alignment horizontal="left" indent="1"/>
    </xf>
    <xf numFmtId="165" fontId="31" fillId="0" borderId="7" xfId="49" applyNumberFormat="1" applyFont="1" applyBorder="1" applyAlignment="1">
      <alignment horizontal="center"/>
    </xf>
    <xf numFmtId="173" fontId="20" fillId="0" borderId="7" xfId="51" applyNumberFormat="1" applyFont="1" applyFill="1" applyBorder="1" applyAlignment="1" applyProtection="1">
      <alignment horizontal="center" vertical="center"/>
    </xf>
    <xf numFmtId="173" fontId="20" fillId="0" borderId="12" xfId="51" applyNumberFormat="1" applyFont="1" applyFill="1" applyBorder="1" applyAlignment="1" applyProtection="1">
      <alignment horizontal="center" vertical="center"/>
    </xf>
    <xf numFmtId="165" fontId="30" fillId="0" borderId="0" xfId="49" applyNumberFormat="1" applyFont="1"/>
    <xf numFmtId="165" fontId="3" fillId="0" borderId="0" xfId="49" applyNumberFormat="1" applyFont="1" applyFill="1" applyAlignment="1">
      <alignment horizontal="left" indent="2"/>
    </xf>
    <xf numFmtId="165" fontId="35" fillId="0" borderId="0" xfId="50" applyNumberFormat="1" applyFont="1" applyFill="1" applyAlignment="1">
      <alignment horizontal="center"/>
    </xf>
    <xf numFmtId="43" fontId="3" fillId="0" borderId="0" xfId="49" applyNumberFormat="1" applyFont="1" applyAlignment="1">
      <alignment horizontal="center"/>
    </xf>
    <xf numFmtId="165" fontId="26" fillId="0" borderId="0" xfId="49" applyNumberFormat="1" applyFont="1" applyBorder="1" applyAlignment="1">
      <alignment horizontal="center"/>
    </xf>
    <xf numFmtId="165" fontId="30" fillId="0" borderId="7" xfId="49" applyNumberFormat="1" applyFont="1" applyBorder="1" applyAlignment="1">
      <alignment horizontal="left"/>
    </xf>
    <xf numFmtId="165" fontId="23" fillId="9" borderId="0" xfId="49" applyNumberFormat="1" applyFont="1" applyFill="1" applyAlignment="1">
      <alignment horizontal="right"/>
    </xf>
    <xf numFmtId="165" fontId="23" fillId="9" borderId="0" xfId="49" applyNumberFormat="1" applyFont="1" applyFill="1" applyAlignment="1">
      <alignment horizontal="left"/>
    </xf>
    <xf numFmtId="165" fontId="26" fillId="0" borderId="0" xfId="49" applyNumberFormat="1" applyFont="1" applyAlignment="1">
      <alignment horizontal="left"/>
    </xf>
    <xf numFmtId="174" fontId="34" fillId="0" borderId="0" xfId="52" applyNumberFormat="1" applyFont="1" applyFill="1" applyBorder="1" applyAlignment="1">
      <alignment horizontal="center" vertical="center"/>
    </xf>
    <xf numFmtId="165" fontId="30" fillId="0" borderId="7" xfId="49" applyNumberFormat="1" applyFont="1" applyBorder="1"/>
    <xf numFmtId="165" fontId="30" fillId="0" borderId="7" xfId="49" applyNumberFormat="1" applyFont="1" applyBorder="1" applyAlignment="1">
      <alignment horizontal="center"/>
    </xf>
    <xf numFmtId="174" fontId="20" fillId="0" borderId="7" xfId="52" applyNumberFormat="1" applyFont="1" applyFill="1" applyBorder="1" applyAlignment="1">
      <alignment horizontal="center" vertical="center"/>
    </xf>
    <xf numFmtId="174" fontId="34" fillId="18" borderId="0" xfId="52" applyNumberFormat="1" applyFont="1" applyFill="1" applyBorder="1" applyAlignment="1" applyProtection="1">
      <alignment horizontal="center" vertical="center"/>
    </xf>
    <xf numFmtId="173" fontId="34" fillId="19" borderId="0" xfId="51" applyNumberFormat="1" applyFont="1" applyFill="1" applyBorder="1" applyAlignment="1" applyProtection="1">
      <alignment horizontal="center" vertical="center"/>
    </xf>
    <xf numFmtId="172" fontId="34" fillId="17" borderId="0" xfId="51" applyNumberFormat="1" applyFont="1" applyFill="1" applyBorder="1" applyAlignment="1" applyProtection="1">
      <alignment horizontal="center" vertical="center"/>
    </xf>
    <xf numFmtId="172" fontId="34" fillId="17" borderId="13" xfId="51" applyNumberFormat="1" applyFont="1" applyFill="1" applyBorder="1" applyAlignment="1" applyProtection="1">
      <alignment horizontal="center" vertical="center"/>
    </xf>
    <xf numFmtId="165" fontId="3" fillId="0" borderId="0" xfId="49" applyNumberFormat="1" applyFont="1"/>
    <xf numFmtId="173" fontId="34" fillId="56" borderId="1" xfId="51" applyNumberFormat="1" applyFont="1" applyFill="1" applyBorder="1" applyAlignment="1" applyProtection="1">
      <alignment horizontal="center" vertical="center"/>
    </xf>
    <xf numFmtId="174" fontId="34" fillId="17" borderId="1" xfId="52" applyNumberFormat="1" applyFont="1" applyFill="1" applyBorder="1" applyAlignment="1" applyProtection="1">
      <alignment horizontal="center" vertical="center"/>
    </xf>
    <xf numFmtId="10" fontId="3" fillId="18" borderId="1" xfId="218" applyNumberFormat="1" applyFont="1" applyFill="1" applyBorder="1" applyAlignment="1" applyProtection="1">
      <alignment horizontal="center"/>
      <protection locked="0"/>
    </xf>
    <xf numFmtId="191" fontId="0" fillId="5" borderId="0" xfId="0" applyNumberFormat="1" applyFill="1"/>
    <xf numFmtId="0" fontId="96" fillId="5" borderId="0" xfId="0" applyFont="1" applyFill="1"/>
    <xf numFmtId="2" fontId="98" fillId="5" borderId="29" xfId="0" applyNumberFormat="1" applyFont="1" applyFill="1" applyBorder="1"/>
    <xf numFmtId="2" fontId="98" fillId="58" borderId="29" xfId="0" applyNumberFormat="1" applyFont="1" applyFill="1" applyBorder="1"/>
    <xf numFmtId="165" fontId="99" fillId="5" borderId="29" xfId="49" applyNumberFormat="1" applyFont="1" applyFill="1" applyBorder="1" applyAlignment="1">
      <alignment horizontal="center"/>
    </xf>
    <xf numFmtId="0" fontId="98" fillId="5" borderId="29" xfId="0" applyFont="1" applyFill="1" applyBorder="1"/>
    <xf numFmtId="2" fontId="96" fillId="5" borderId="23" xfId="0" applyNumberFormat="1" applyFont="1" applyFill="1" applyBorder="1"/>
    <xf numFmtId="0" fontId="96" fillId="5" borderId="23" xfId="0" applyFont="1" applyFill="1" applyBorder="1"/>
    <xf numFmtId="165" fontId="100" fillId="5" borderId="23" xfId="49" applyNumberFormat="1" applyFont="1" applyFill="1" applyBorder="1" applyAlignment="1">
      <alignment horizontal="center"/>
    </xf>
    <xf numFmtId="165" fontId="101" fillId="5" borderId="23" xfId="49" applyNumberFormat="1" applyFont="1" applyFill="1" applyBorder="1" applyAlignment="1">
      <alignment horizontal="left" indent="1"/>
    </xf>
    <xf numFmtId="165" fontId="102" fillId="5" borderId="23" xfId="49" applyNumberFormat="1" applyFont="1" applyFill="1" applyBorder="1" applyAlignment="1">
      <alignment horizontal="left" indent="1"/>
    </xf>
    <xf numFmtId="10" fontId="96" fillId="5" borderId="23" xfId="2" applyNumberFormat="1" applyFont="1" applyFill="1" applyBorder="1"/>
    <xf numFmtId="0" fontId="103" fillId="5" borderId="23" xfId="0" applyFont="1" applyFill="1" applyBorder="1" applyAlignment="1">
      <alignment horizontal="center"/>
    </xf>
    <xf numFmtId="2" fontId="103" fillId="5" borderId="23" xfId="0" applyNumberFormat="1" applyFont="1" applyFill="1" applyBorder="1" applyAlignment="1">
      <alignment horizontal="center"/>
    </xf>
    <xf numFmtId="14" fontId="96" fillId="5" borderId="23" xfId="0" applyNumberFormat="1" applyFont="1" applyFill="1" applyBorder="1"/>
    <xf numFmtId="165" fontId="102" fillId="5" borderId="23" xfId="49" applyNumberFormat="1" applyFont="1" applyFill="1" applyBorder="1" applyAlignment="1">
      <alignment horizontal="left"/>
    </xf>
    <xf numFmtId="0" fontId="2" fillId="5" borderId="29" xfId="0" applyFont="1" applyFill="1" applyBorder="1" applyAlignment="1">
      <alignment horizontal="center"/>
    </xf>
    <xf numFmtId="0" fontId="0" fillId="5" borderId="29" xfId="0" applyFill="1" applyBorder="1"/>
    <xf numFmtId="0" fontId="97" fillId="5" borderId="0" xfId="0" applyFont="1" applyFill="1" applyAlignment="1">
      <alignment vertical="center"/>
    </xf>
    <xf numFmtId="191" fontId="0" fillId="0" borderId="30" xfId="1" applyNumberFormat="1" applyFont="1" applyBorder="1"/>
    <xf numFmtId="191" fontId="0" fillId="0" borderId="11" xfId="1" applyNumberFormat="1" applyFont="1" applyBorder="1"/>
    <xf numFmtId="0" fontId="0" fillId="0" borderId="30" xfId="0" applyFont="1" applyBorder="1"/>
    <xf numFmtId="0" fontId="94" fillId="59" borderId="8" xfId="306" applyFont="1" applyFill="1" applyBorder="1" applyAlignment="1">
      <alignment horizontal="center"/>
    </xf>
    <xf numFmtId="0" fontId="94" fillId="59" borderId="0" xfId="306" applyFont="1" applyFill="1" applyBorder="1" applyAlignment="1">
      <alignment horizontal="center"/>
    </xf>
    <xf numFmtId="0" fontId="2" fillId="59" borderId="8" xfId="0" applyFont="1" applyFill="1" applyBorder="1" applyAlignment="1">
      <alignment horizontal="left" vertical="center"/>
    </xf>
    <xf numFmtId="0" fontId="94" fillId="59" borderId="8" xfId="306" applyFont="1" applyFill="1" applyBorder="1" applyAlignment="1">
      <alignment horizontal="centerContinuous"/>
    </xf>
    <xf numFmtId="0" fontId="94" fillId="59" borderId="0" xfId="306" applyFont="1" applyFill="1" applyBorder="1" applyAlignment="1">
      <alignment horizontal="centerContinuous"/>
    </xf>
    <xf numFmtId="0" fontId="2" fillId="0" borderId="31" xfId="0" applyFont="1" applyFill="1" applyBorder="1"/>
    <xf numFmtId="0" fontId="5" fillId="0" borderId="0" xfId="28"/>
    <xf numFmtId="192" fontId="5" fillId="0" borderId="0" xfId="28" applyNumberFormat="1"/>
    <xf numFmtId="166" fontId="5" fillId="0" borderId="0" xfId="1" applyNumberFormat="1" applyFont="1"/>
    <xf numFmtId="193" fontId="5" fillId="0" borderId="0" xfId="28" applyNumberFormat="1"/>
    <xf numFmtId="194" fontId="5" fillId="0" borderId="0" xfId="1" applyNumberFormat="1" applyFont="1"/>
    <xf numFmtId="0" fontId="106" fillId="60" borderId="0" xfId="28" applyFont="1" applyFill="1"/>
    <xf numFmtId="0" fontId="5" fillId="0" borderId="0" xfId="28" applyFont="1" applyFill="1"/>
    <xf numFmtId="0" fontId="6" fillId="0" borderId="0" xfId="28" applyFont="1"/>
    <xf numFmtId="43" fontId="5" fillId="0" borderId="0" xfId="1" applyFont="1"/>
    <xf numFmtId="44" fontId="5" fillId="0" borderId="0" xfId="28" applyNumberFormat="1"/>
    <xf numFmtId="44" fontId="0" fillId="18" borderId="32" xfId="305" applyFont="1" applyFill="1" applyBorder="1"/>
    <xf numFmtId="44" fontId="0" fillId="61" borderId="32" xfId="305" applyFont="1" applyFill="1" applyBorder="1"/>
    <xf numFmtId="44" fontId="0" fillId="61" borderId="33" xfId="305" applyFont="1" applyFill="1" applyBorder="1"/>
    <xf numFmtId="2" fontId="5" fillId="0" borderId="0" xfId="28" applyNumberFormat="1" applyAlignment="1">
      <alignment horizontal="right"/>
    </xf>
    <xf numFmtId="43" fontId="5" fillId="0" borderId="0" xfId="28" applyNumberFormat="1"/>
    <xf numFmtId="195" fontId="6" fillId="0" borderId="0" xfId="28" applyNumberFormat="1" applyFont="1"/>
    <xf numFmtId="195" fontId="6" fillId="0" borderId="34" xfId="14" applyNumberFormat="1" applyFont="1" applyBorder="1"/>
    <xf numFmtId="43" fontId="5" fillId="18" borderId="0" xfId="28" applyNumberFormat="1" applyFill="1"/>
    <xf numFmtId="0" fontId="5" fillId="18" borderId="0" xfId="28" applyFill="1"/>
    <xf numFmtId="166" fontId="2" fillId="18" borderId="0" xfId="0" applyNumberFormat="1" applyFont="1" applyFill="1"/>
    <xf numFmtId="166" fontId="6" fillId="18" borderId="34" xfId="44" applyNumberFormat="1" applyFont="1" applyFill="1" applyBorder="1"/>
    <xf numFmtId="196" fontId="5" fillId="0" borderId="0" xfId="1" applyNumberFormat="1" applyFont="1"/>
    <xf numFmtId="196" fontId="5" fillId="19" borderId="0" xfId="1" applyNumberFormat="1" applyFont="1" applyFill="1"/>
    <xf numFmtId="196" fontId="5" fillId="6" borderId="0" xfId="1" applyNumberFormat="1" applyFont="1" applyFill="1"/>
    <xf numFmtId="164" fontId="5" fillId="6" borderId="0" xfId="28" applyNumberFormat="1" applyFill="1" applyAlignment="1">
      <alignment horizontal="center" vertical="center"/>
    </xf>
    <xf numFmtId="164" fontId="5" fillId="0" borderId="0" xfId="28" applyNumberFormat="1" applyAlignment="1">
      <alignment horizontal="center" vertical="center"/>
    </xf>
    <xf numFmtId="2" fontId="5" fillId="0" borderId="0" xfId="28" applyNumberFormat="1" applyAlignment="1">
      <alignment horizontal="center" vertical="center"/>
    </xf>
    <xf numFmtId="0" fontId="5" fillId="0" borderId="0" xfId="28" applyAlignment="1">
      <alignment horizontal="center" vertical="center"/>
    </xf>
    <xf numFmtId="196" fontId="5" fillId="0" borderId="0" xfId="1" applyNumberFormat="1" applyFont="1" applyAlignment="1">
      <alignment horizontal="center" vertical="center"/>
    </xf>
    <xf numFmtId="196" fontId="5" fillId="19" borderId="0" xfId="1" applyNumberFormat="1" applyFont="1" applyFill="1" applyAlignment="1">
      <alignment horizontal="center" vertical="center"/>
    </xf>
    <xf numFmtId="0" fontId="6" fillId="0" borderId="0" xfId="28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58" borderId="0" xfId="2" applyNumberFormat="1" applyFont="1" applyFill="1" applyAlignment="1">
      <alignment horizontal="center" vertical="center"/>
    </xf>
    <xf numFmtId="0" fontId="107" fillId="0" borderId="0" xfId="28" applyFont="1"/>
    <xf numFmtId="17" fontId="5" fillId="0" borderId="0" xfId="28" applyNumberFormat="1" applyAlignment="1">
      <alignment horizontal="center" vertical="center"/>
    </xf>
    <xf numFmtId="173" fontId="34" fillId="60" borderId="0" xfId="51" applyNumberFormat="1" applyFont="1" applyFill="1" applyBorder="1" applyAlignment="1" applyProtection="1">
      <alignment horizontal="center" vertical="center"/>
    </xf>
    <xf numFmtId="165" fontId="108" fillId="60" borderId="0" xfId="49" applyNumberFormat="1" applyFont="1" applyFill="1" applyAlignment="1">
      <alignment horizontal="center"/>
    </xf>
    <xf numFmtId="0" fontId="98" fillId="5" borderId="23" xfId="0" applyFont="1" applyFill="1" applyBorder="1"/>
    <xf numFmtId="9" fontId="96" fillId="5" borderId="23" xfId="2" applyFont="1" applyFill="1" applyBorder="1"/>
    <xf numFmtId="165" fontId="96" fillId="5" borderId="23" xfId="1" applyNumberFormat="1" applyFont="1" applyFill="1" applyBorder="1"/>
    <xf numFmtId="0" fontId="98" fillId="5" borderId="23" xfId="0" applyFont="1" applyFill="1" applyBorder="1" applyAlignment="1">
      <alignment horizontal="center"/>
    </xf>
    <xf numFmtId="0" fontId="98" fillId="5" borderId="35" xfId="0" applyFont="1" applyFill="1" applyBorder="1"/>
    <xf numFmtId="0" fontId="96" fillId="5" borderId="35" xfId="0" applyFont="1" applyFill="1" applyBorder="1"/>
    <xf numFmtId="10" fontId="96" fillId="5" borderId="35" xfId="2" applyNumberFormat="1" applyFont="1" applyFill="1" applyBorder="1"/>
    <xf numFmtId="0" fontId="110" fillId="20" borderId="29" xfId="0" applyFont="1" applyFill="1" applyBorder="1"/>
    <xf numFmtId="0" fontId="96" fillId="5" borderId="23" xfId="0" applyFont="1" applyFill="1" applyBorder="1" applyAlignment="1">
      <alignment horizontal="left" indent="1"/>
    </xf>
    <xf numFmtId="0" fontId="98" fillId="5" borderId="23" xfId="0" applyFont="1" applyFill="1" applyBorder="1" applyAlignment="1">
      <alignment horizontal="left" indent="1"/>
    </xf>
    <xf numFmtId="0" fontId="98" fillId="62" borderId="31" xfId="0" applyFont="1" applyFill="1" applyBorder="1"/>
    <xf numFmtId="0" fontId="96" fillId="62" borderId="31" xfId="0" applyFont="1" applyFill="1" applyBorder="1"/>
    <xf numFmtId="0" fontId="96" fillId="62" borderId="23" xfId="0" applyFont="1" applyFill="1" applyBorder="1"/>
    <xf numFmtId="0" fontId="111" fillId="62" borderId="23" xfId="0" applyFont="1" applyFill="1" applyBorder="1" applyAlignment="1">
      <alignment horizontal="left" indent="1"/>
    </xf>
    <xf numFmtId="0" fontId="112" fillId="63" borderId="36" xfId="0" applyFont="1" applyFill="1" applyBorder="1" applyAlignment="1">
      <alignment horizontal="justify" vertical="center" wrapText="1"/>
    </xf>
    <xf numFmtId="0" fontId="113" fillId="63" borderId="37" xfId="0" applyFont="1" applyFill="1" applyBorder="1" applyAlignment="1">
      <alignment horizontal="center" vertical="center" wrapText="1"/>
    </xf>
    <xf numFmtId="0" fontId="114" fillId="0" borderId="38" xfId="0" applyFont="1" applyBorder="1" applyAlignment="1">
      <alignment horizontal="justify" vertical="center" wrapText="1"/>
    </xf>
    <xf numFmtId="0" fontId="112" fillId="0" borderId="38" xfId="0" applyFont="1" applyBorder="1" applyAlignment="1">
      <alignment horizontal="justify" vertical="center" wrapText="1"/>
    </xf>
    <xf numFmtId="43" fontId="3" fillId="0" borderId="0" xfId="49" applyNumberFormat="1" applyFont="1"/>
    <xf numFmtId="10" fontId="3" fillId="0" borderId="0" xfId="2" applyNumberFormat="1" applyFont="1"/>
    <xf numFmtId="2" fontId="114" fillId="0" borderId="39" xfId="0" applyNumberFormat="1" applyFont="1" applyFill="1" applyBorder="1" applyAlignment="1">
      <alignment horizontal="right" vertical="center" wrapText="1"/>
    </xf>
    <xf numFmtId="43" fontId="114" fillId="0" borderId="39" xfId="0" applyNumberFormat="1" applyFont="1" applyFill="1" applyBorder="1" applyAlignment="1">
      <alignment horizontal="right" vertical="center" wrapText="1"/>
    </xf>
    <xf numFmtId="0" fontId="114" fillId="0" borderId="39" xfId="0" applyFont="1" applyFill="1" applyBorder="1" applyAlignment="1">
      <alignment horizontal="right" vertical="center" wrapText="1"/>
    </xf>
    <xf numFmtId="0" fontId="32" fillId="0" borderId="0" xfId="50" applyAlignment="1">
      <alignment horizontal="left" vertical="center" indent="8"/>
    </xf>
    <xf numFmtId="0" fontId="115" fillId="63" borderId="37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horizontal="justify" vertical="center" wrapText="1"/>
    </xf>
    <xf numFmtId="10" fontId="114" fillId="0" borderId="39" xfId="0" applyNumberFormat="1" applyFont="1" applyBorder="1" applyAlignment="1">
      <alignment horizontal="right" vertical="center" wrapText="1"/>
    </xf>
    <xf numFmtId="0" fontId="32" fillId="0" borderId="0" xfId="50" applyAlignment="1">
      <alignment horizontal="justify" vertical="center"/>
    </xf>
    <xf numFmtId="197" fontId="114" fillId="0" borderId="39" xfId="0" applyNumberFormat="1" applyFont="1" applyFill="1" applyBorder="1" applyAlignment="1">
      <alignment horizontal="right" vertical="center" wrapText="1"/>
    </xf>
    <xf numFmtId="196" fontId="3" fillId="0" borderId="0" xfId="49" applyNumberFormat="1" applyFont="1"/>
    <xf numFmtId="165" fontId="3" fillId="0" borderId="0" xfId="49" applyNumberFormat="1" applyFont="1" applyFill="1" applyBorder="1"/>
    <xf numFmtId="165" fontId="109" fillId="0" borderId="0" xfId="49" applyNumberFormat="1" applyFont="1" applyFill="1" applyBorder="1"/>
    <xf numFmtId="0" fontId="19" fillId="9" borderId="0" xfId="49" applyFont="1" applyFill="1" applyBorder="1" applyAlignment="1">
      <alignment horizontal="left" vertical="center" indent="6"/>
    </xf>
    <xf numFmtId="0" fontId="21" fillId="9" borderId="9" xfId="49" applyFont="1" applyFill="1" applyBorder="1" applyAlignment="1">
      <alignment horizontal="left" indent="6"/>
    </xf>
    <xf numFmtId="0" fontId="24" fillId="13" borderId="10" xfId="49" applyNumberFormat="1" applyFont="1" applyFill="1" applyBorder="1" applyAlignment="1">
      <alignment horizontal="center"/>
    </xf>
    <xf numFmtId="0" fontId="24" fillId="15" borderId="10" xfId="49" applyNumberFormat="1" applyFont="1" applyFill="1" applyBorder="1" applyAlignment="1">
      <alignment horizontal="center"/>
    </xf>
    <xf numFmtId="0" fontId="114" fillId="0" borderId="40" xfId="0" applyFont="1" applyBorder="1" applyAlignment="1">
      <alignment horizontal="justify" vertical="center" wrapText="1"/>
    </xf>
    <xf numFmtId="0" fontId="114" fillId="0" borderId="38" xfId="0" applyFont="1" applyBorder="1" applyAlignment="1">
      <alignment horizontal="justify" vertical="center" wrapText="1"/>
    </xf>
    <xf numFmtId="0" fontId="11" fillId="8" borderId="0" xfId="0" applyFont="1" applyFill="1" applyAlignment="1">
      <alignment horizontal="center" vertical="center" textRotation="90" wrapText="1"/>
    </xf>
    <xf numFmtId="0" fontId="117" fillId="5" borderId="0" xfId="183" applyFont="1" applyFill="1"/>
    <xf numFmtId="0" fontId="5" fillId="5" borderId="0" xfId="183" applyFill="1"/>
    <xf numFmtId="0" fontId="7" fillId="64" borderId="41" xfId="183" applyFont="1" applyFill="1" applyBorder="1" applyAlignment="1" applyProtection="1">
      <alignment horizontal="left" vertical="center"/>
    </xf>
    <xf numFmtId="0" fontId="7" fillId="64" borderId="42" xfId="183" applyFont="1" applyFill="1" applyBorder="1" applyAlignment="1" applyProtection="1">
      <alignment horizontal="left" vertical="center"/>
    </xf>
    <xf numFmtId="0" fontId="7" fillId="64" borderId="43" xfId="183" applyFont="1" applyFill="1" applyBorder="1" applyAlignment="1" applyProtection="1">
      <alignment horizontal="left" vertical="center"/>
    </xf>
    <xf numFmtId="0" fontId="7" fillId="64" borderId="37" xfId="183" applyFont="1" applyFill="1" applyBorder="1" applyAlignment="1" applyProtection="1">
      <alignment horizontal="left" vertical="center"/>
    </xf>
    <xf numFmtId="0" fontId="5" fillId="0" borderId="0" xfId="183"/>
    <xf numFmtId="0" fontId="10" fillId="5" borderId="44" xfId="183" applyFont="1" applyFill="1" applyBorder="1" applyAlignment="1" applyProtection="1">
      <alignment vertical="center" wrapText="1"/>
      <protection locked="0"/>
    </xf>
    <xf numFmtId="0" fontId="118" fillId="65" borderId="41" xfId="183" applyFont="1" applyFill="1" applyBorder="1" applyAlignment="1" applyProtection="1">
      <alignment horizontal="center" vertical="center"/>
      <protection locked="0"/>
    </xf>
    <xf numFmtId="0" fontId="118" fillId="65" borderId="43" xfId="183" applyFont="1" applyFill="1" applyBorder="1" applyAlignment="1" applyProtection="1">
      <alignment horizontal="center" vertical="center"/>
      <protection locked="0"/>
    </xf>
    <xf numFmtId="0" fontId="118" fillId="65" borderId="37" xfId="183" applyFont="1" applyFill="1" applyBorder="1" applyAlignment="1" applyProtection="1">
      <alignment horizontal="center" vertical="center"/>
      <protection locked="0"/>
    </xf>
    <xf numFmtId="0" fontId="118" fillId="65" borderId="41" xfId="183" applyFont="1" applyFill="1" applyBorder="1" applyAlignment="1" applyProtection="1">
      <alignment horizontal="center" vertical="center"/>
    </xf>
    <xf numFmtId="0" fontId="118" fillId="65" borderId="37" xfId="183" applyFont="1" applyFill="1" applyBorder="1" applyAlignment="1" applyProtection="1">
      <alignment horizontal="center" vertical="center"/>
    </xf>
    <xf numFmtId="0" fontId="5" fillId="0" borderId="45" xfId="183" applyBorder="1"/>
    <xf numFmtId="0" fontId="118" fillId="65" borderId="46" xfId="183" applyFont="1" applyFill="1" applyBorder="1" applyAlignment="1" applyProtection="1">
      <alignment horizontal="center" vertical="center"/>
    </xf>
    <xf numFmtId="0" fontId="118" fillId="65" borderId="47" xfId="183" applyFont="1" applyFill="1" applyBorder="1" applyAlignment="1" applyProtection="1">
      <alignment horizontal="center" vertical="center"/>
    </xf>
    <xf numFmtId="0" fontId="6" fillId="64" borderId="48" xfId="183" applyFont="1" applyFill="1" applyBorder="1" applyAlignment="1" applyProtection="1">
      <alignment horizontal="right" vertical="center"/>
    </xf>
    <xf numFmtId="0" fontId="6" fillId="64" borderId="49" xfId="183" applyFont="1" applyFill="1" applyBorder="1" applyAlignment="1" applyProtection="1">
      <alignment horizontal="right" vertical="center"/>
    </xf>
    <xf numFmtId="0" fontId="6" fillId="65" borderId="50" xfId="183" applyFont="1" applyFill="1" applyBorder="1" applyAlignment="1" applyProtection="1">
      <alignment horizontal="right" vertical="center"/>
    </xf>
    <xf numFmtId="0" fontId="6" fillId="65" borderId="51" xfId="183" applyFont="1" applyFill="1" applyBorder="1" applyAlignment="1" applyProtection="1">
      <alignment horizontal="right" vertical="center"/>
    </xf>
    <xf numFmtId="0" fontId="6" fillId="65" borderId="52" xfId="183" applyFont="1" applyFill="1" applyBorder="1" applyAlignment="1" applyProtection="1">
      <alignment horizontal="right" vertical="center"/>
    </xf>
    <xf numFmtId="0" fontId="6" fillId="65" borderId="37" xfId="183" applyFont="1" applyFill="1" applyBorder="1" applyAlignment="1" applyProtection="1">
      <alignment horizontal="right" vertical="center"/>
    </xf>
    <xf numFmtId="0" fontId="5" fillId="0" borderId="44" xfId="183" applyBorder="1"/>
    <xf numFmtId="0" fontId="6" fillId="65" borderId="41" xfId="183" applyFont="1" applyFill="1" applyBorder="1" applyAlignment="1" applyProtection="1">
      <alignment horizontal="right" vertical="center"/>
    </xf>
    <xf numFmtId="0" fontId="6" fillId="65" borderId="43" xfId="183" applyFont="1" applyFill="1" applyBorder="1" applyAlignment="1" applyProtection="1">
      <alignment horizontal="center" vertical="center"/>
      <protection locked="0"/>
    </xf>
    <xf numFmtId="0" fontId="6" fillId="65" borderId="53" xfId="183" applyFont="1" applyFill="1" applyBorder="1" applyAlignment="1" applyProtection="1">
      <alignment horizontal="right" vertical="center"/>
    </xf>
    <xf numFmtId="0" fontId="117" fillId="5" borderId="0" xfId="183" applyFont="1" applyFill="1" applyProtection="1"/>
    <xf numFmtId="0" fontId="95" fillId="5" borderId="0" xfId="183" applyFont="1" applyFill="1" applyProtection="1"/>
    <xf numFmtId="0" fontId="5" fillId="0" borderId="54" xfId="183" applyFont="1" applyFill="1" applyBorder="1" applyAlignment="1" applyProtection="1">
      <alignment horizontal="left" vertical="center" wrapText="1" indent="1"/>
    </xf>
    <xf numFmtId="197" fontId="5" fillId="0" borderId="55" xfId="183" applyNumberFormat="1" applyFont="1" applyFill="1" applyBorder="1" applyAlignment="1" applyProtection="1">
      <alignment vertical="center" wrapText="1"/>
    </xf>
    <xf numFmtId="197" fontId="5" fillId="64" borderId="56" xfId="183" applyNumberFormat="1" applyFont="1" applyFill="1" applyBorder="1" applyAlignment="1" applyProtection="1"/>
    <xf numFmtId="197" fontId="6" fillId="64" borderId="56" xfId="183" applyNumberFormat="1" applyFont="1" applyFill="1" applyBorder="1" applyAlignment="1" applyProtection="1"/>
    <xf numFmtId="197" fontId="6" fillId="64" borderId="57" xfId="183" applyNumberFormat="1" applyFont="1" applyFill="1" applyBorder="1" applyAlignment="1" applyProtection="1"/>
    <xf numFmtId="0" fontId="4" fillId="5" borderId="54" xfId="183" applyFont="1" applyFill="1" applyBorder="1" applyAlignment="1" applyProtection="1">
      <alignment vertical="center" wrapText="1"/>
    </xf>
    <xf numFmtId="10" fontId="4" fillId="5" borderId="58" xfId="2" applyNumberFormat="1" applyFont="1" applyFill="1" applyBorder="1" applyAlignment="1" applyProtection="1">
      <alignment vertical="center" wrapText="1"/>
    </xf>
    <xf numFmtId="10" fontId="5" fillId="5" borderId="35" xfId="183" applyNumberFormat="1" applyFont="1" applyFill="1" applyBorder="1" applyAlignment="1" applyProtection="1">
      <alignment horizontal="right" vertical="center" wrapText="1"/>
    </xf>
    <xf numFmtId="10" fontId="5" fillId="5" borderId="59" xfId="183" applyNumberFormat="1" applyFont="1" applyFill="1" applyBorder="1" applyAlignment="1" applyProtection="1">
      <alignment horizontal="right" vertical="center" wrapText="1"/>
    </xf>
    <xf numFmtId="0" fontId="5" fillId="5" borderId="0" xfId="183" applyFill="1" applyProtection="1"/>
    <xf numFmtId="0" fontId="5" fillId="0" borderId="60" xfId="183" applyFont="1" applyFill="1" applyBorder="1" applyAlignment="1" applyProtection="1">
      <alignment horizontal="left" vertical="center" wrapText="1" indent="1"/>
    </xf>
    <xf numFmtId="197" fontId="5" fillId="0" borderId="61" xfId="183" applyNumberFormat="1" applyFont="1" applyFill="1" applyBorder="1" applyAlignment="1" applyProtection="1">
      <alignment vertical="center" wrapText="1"/>
    </xf>
    <xf numFmtId="197" fontId="5" fillId="0" borderId="62" xfId="183" applyNumberFormat="1" applyFont="1" applyFill="1" applyBorder="1" applyAlignment="1" applyProtection="1">
      <alignment vertical="center" wrapText="1"/>
    </xf>
    <xf numFmtId="197" fontId="5" fillId="0" borderId="63" xfId="183" applyNumberFormat="1" applyFont="1" applyFill="1" applyBorder="1" applyAlignment="1" applyProtection="1">
      <alignment vertical="center" wrapText="1"/>
    </xf>
    <xf numFmtId="0" fontId="4" fillId="5" borderId="60" xfId="183" applyFont="1" applyFill="1" applyBorder="1" applyAlignment="1" applyProtection="1">
      <alignment vertical="center" wrapText="1"/>
    </xf>
    <xf numFmtId="169" fontId="5" fillId="5" borderId="61" xfId="183" applyNumberFormat="1" applyFont="1" applyFill="1" applyBorder="1" applyAlignment="1" applyProtection="1">
      <alignment horizontal="right" vertical="center" wrapText="1"/>
    </xf>
    <xf numFmtId="169" fontId="5" fillId="5" borderId="64" xfId="183" applyNumberFormat="1" applyFont="1" applyFill="1" applyBorder="1" applyAlignment="1" applyProtection="1">
      <alignment horizontal="right" vertical="center" wrapText="1"/>
    </xf>
    <xf numFmtId="169" fontId="5" fillId="5" borderId="62" xfId="183" applyNumberFormat="1" applyFont="1" applyFill="1" applyBorder="1" applyAlignment="1" applyProtection="1">
      <alignment horizontal="right" vertical="center" wrapText="1"/>
    </xf>
    <xf numFmtId="169" fontId="5" fillId="5" borderId="65" xfId="183" applyNumberFormat="1" applyFont="1" applyFill="1" applyBorder="1" applyAlignment="1" applyProtection="1">
      <alignment horizontal="right" vertical="center" wrapText="1"/>
    </xf>
    <xf numFmtId="0" fontId="117" fillId="5" borderId="0" xfId="183" applyFont="1" applyFill="1" applyBorder="1" applyProtection="1"/>
    <xf numFmtId="0" fontId="95" fillId="5" borderId="0" xfId="183" applyFont="1" applyFill="1" applyBorder="1" applyProtection="1"/>
    <xf numFmtId="0" fontId="5" fillId="0" borderId="0" xfId="183" applyFont="1" applyFill="1" applyBorder="1" applyAlignment="1" applyProtection="1">
      <alignment horizontal="left" vertical="center" wrapText="1" indent="1"/>
    </xf>
    <xf numFmtId="0" fontId="5" fillId="0" borderId="42" xfId="183" applyFont="1" applyFill="1" applyBorder="1" applyAlignment="1" applyProtection="1">
      <alignment horizontal="left" vertical="center" wrapText="1" indent="1"/>
    </xf>
    <xf numFmtId="197" fontId="5" fillId="0" borderId="42" xfId="183" applyNumberFormat="1" applyFont="1" applyFill="1" applyBorder="1" applyAlignment="1" applyProtection="1">
      <alignment horizontal="right" vertical="center" wrapText="1"/>
    </xf>
    <xf numFmtId="0" fontId="5" fillId="5" borderId="0" xfId="183" applyFill="1" applyBorder="1" applyProtection="1"/>
    <xf numFmtId="171" fontId="5" fillId="5" borderId="0" xfId="183" applyNumberFormat="1" applyFill="1" applyBorder="1" applyProtection="1"/>
    <xf numFmtId="2" fontId="5" fillId="5" borderId="0" xfId="183" applyNumberFormat="1" applyFont="1" applyFill="1" applyBorder="1" applyAlignment="1" applyProtection="1">
      <alignment horizontal="right" vertical="center" wrapText="1"/>
    </xf>
    <xf numFmtId="0" fontId="117" fillId="0" borderId="0" xfId="183" applyFont="1"/>
    <xf numFmtId="0" fontId="117" fillId="5" borderId="0" xfId="183" applyFont="1" applyFill="1" applyBorder="1" applyProtection="1">
      <protection locked="0"/>
    </xf>
    <xf numFmtId="0" fontId="95" fillId="5" borderId="0" xfId="183" applyFont="1" applyFill="1" applyBorder="1" applyProtection="1">
      <protection locked="0"/>
    </xf>
    <xf numFmtId="0" fontId="119" fillId="66" borderId="0" xfId="183" applyFont="1" applyFill="1" applyBorder="1" applyAlignment="1">
      <alignment vertical="center"/>
    </xf>
    <xf numFmtId="0" fontId="119" fillId="5" borderId="0" xfId="183" applyFont="1" applyFill="1" applyBorder="1" applyProtection="1"/>
    <xf numFmtId="0" fontId="5" fillId="5" borderId="0" xfId="183" applyFill="1" applyAlignment="1">
      <alignment horizontal="left" vertical="top" wrapText="1"/>
    </xf>
    <xf numFmtId="0" fontId="120" fillId="5" borderId="0" xfId="183" applyFont="1" applyFill="1" applyBorder="1" applyProtection="1"/>
    <xf numFmtId="0" fontId="121" fillId="5" borderId="0" xfId="183" applyFont="1" applyFill="1" applyBorder="1" applyProtection="1"/>
    <xf numFmtId="0" fontId="122" fillId="18" borderId="41" xfId="183" applyFont="1" applyFill="1" applyBorder="1" applyAlignment="1" applyProtection="1">
      <alignment horizontal="left" vertical="center"/>
      <protection locked="0"/>
    </xf>
    <xf numFmtId="0" fontId="122" fillId="18" borderId="43" xfId="183" applyFont="1" applyFill="1" applyBorder="1" applyAlignment="1" applyProtection="1">
      <alignment horizontal="left" vertical="center"/>
      <protection locked="0"/>
    </xf>
    <xf numFmtId="0" fontId="123" fillId="5" borderId="45" xfId="183" applyFont="1" applyFill="1" applyBorder="1"/>
    <xf numFmtId="0" fontId="124" fillId="64" borderId="66" xfId="183" applyFont="1" applyFill="1" applyBorder="1" applyAlignment="1" applyProtection="1">
      <alignment horizontal="center"/>
    </xf>
    <xf numFmtId="0" fontId="124" fillId="64" borderId="67" xfId="183" applyFont="1" applyFill="1" applyBorder="1" applyAlignment="1" applyProtection="1">
      <alignment horizontal="center"/>
    </xf>
    <xf numFmtId="0" fontId="124" fillId="67" borderId="68" xfId="183" applyFont="1" applyFill="1" applyBorder="1" applyAlignment="1" applyProtection="1">
      <alignment horizontal="center"/>
    </xf>
    <xf numFmtId="0" fontId="124" fillId="67" borderId="69" xfId="183" applyFont="1" applyFill="1" applyBorder="1" applyAlignment="1" applyProtection="1">
      <alignment horizontal="center"/>
    </xf>
    <xf numFmtId="0" fontId="124" fillId="67" borderId="70" xfId="183" applyFont="1" applyFill="1" applyBorder="1" applyAlignment="1" applyProtection="1">
      <alignment horizontal="center"/>
    </xf>
    <xf numFmtId="0" fontId="124" fillId="68" borderId="68" xfId="183" applyFont="1" applyFill="1" applyBorder="1" applyAlignment="1" applyProtection="1">
      <alignment horizontal="center"/>
    </xf>
    <xf numFmtId="0" fontId="124" fillId="68" borderId="69" xfId="183" applyFont="1" applyFill="1" applyBorder="1" applyAlignment="1" applyProtection="1">
      <alignment horizontal="center"/>
    </xf>
    <xf numFmtId="0" fontId="124" fillId="68" borderId="70" xfId="183" applyFont="1" applyFill="1" applyBorder="1" applyAlignment="1" applyProtection="1">
      <alignment horizontal="center"/>
    </xf>
    <xf numFmtId="0" fontId="5" fillId="5" borderId="44" xfId="183" applyFill="1" applyBorder="1"/>
    <xf numFmtId="0" fontId="6" fillId="64" borderId="48" xfId="183" applyFont="1" applyFill="1" applyBorder="1" applyAlignment="1" applyProtection="1">
      <alignment horizontal="center" vertical="center"/>
    </xf>
    <xf numFmtId="0" fontId="6" fillId="64" borderId="49" xfId="183" applyFont="1" applyFill="1" applyBorder="1" applyAlignment="1" applyProtection="1">
      <alignment horizontal="center" vertical="center"/>
    </xf>
    <xf numFmtId="0" fontId="6" fillId="67" borderId="71" xfId="183" applyFont="1" applyFill="1" applyBorder="1" applyAlignment="1" applyProtection="1">
      <alignment horizontal="center" vertical="center"/>
    </xf>
    <xf numFmtId="0" fontId="6" fillId="67" borderId="72" xfId="183" applyFont="1" applyFill="1" applyBorder="1" applyAlignment="1" applyProtection="1">
      <alignment horizontal="center" vertical="center"/>
    </xf>
    <xf numFmtId="0" fontId="6" fillId="67" borderId="73" xfId="183" applyFont="1" applyFill="1" applyBorder="1" applyAlignment="1" applyProtection="1">
      <alignment horizontal="center" vertical="center"/>
    </xf>
    <xf numFmtId="0" fontId="6" fillId="64" borderId="74" xfId="183" applyFont="1" applyFill="1" applyBorder="1" applyAlignment="1" applyProtection="1">
      <alignment horizontal="center" vertical="center"/>
    </xf>
    <xf numFmtId="0" fontId="6" fillId="64" borderId="75" xfId="183" applyFont="1" applyFill="1" applyBorder="1" applyAlignment="1" applyProtection="1">
      <alignment horizontal="center" vertical="center"/>
    </xf>
    <xf numFmtId="0" fontId="6" fillId="68" borderId="60" xfId="183" applyFont="1" applyFill="1" applyBorder="1" applyAlignment="1" applyProtection="1">
      <alignment horizontal="right" vertical="center"/>
    </xf>
    <xf numFmtId="0" fontId="6" fillId="68" borderId="76" xfId="183" applyFont="1" applyFill="1" applyBorder="1" applyAlignment="1" applyProtection="1">
      <alignment horizontal="right" vertical="center"/>
    </xf>
    <xf numFmtId="0" fontId="6" fillId="68" borderId="77" xfId="183" applyFont="1" applyFill="1" applyBorder="1" applyAlignment="1" applyProtection="1">
      <alignment horizontal="right" vertical="center"/>
    </xf>
    <xf numFmtId="0" fontId="6" fillId="64" borderId="60" xfId="183" applyFont="1" applyFill="1" applyBorder="1" applyAlignment="1" applyProtection="1">
      <alignment horizontal="right" vertical="center"/>
    </xf>
    <xf numFmtId="0" fontId="6" fillId="64" borderId="76" xfId="183" applyFont="1" applyFill="1" applyBorder="1" applyAlignment="1" applyProtection="1">
      <alignment horizontal="right" vertical="center"/>
    </xf>
    <xf numFmtId="0" fontId="6" fillId="67" borderId="50" xfId="183" applyFont="1" applyFill="1" applyBorder="1" applyAlignment="1" applyProtection="1">
      <alignment horizontal="right" vertical="center"/>
    </xf>
    <xf numFmtId="0" fontId="6" fillId="67" borderId="51" xfId="183" applyFont="1" applyFill="1" applyBorder="1" applyAlignment="1" applyProtection="1">
      <alignment horizontal="right" vertical="center"/>
    </xf>
    <xf numFmtId="0" fontId="6" fillId="67" borderId="53" xfId="183" applyFont="1" applyFill="1" applyBorder="1" applyAlignment="1" applyProtection="1">
      <alignment horizontal="right" vertical="center"/>
    </xf>
    <xf numFmtId="0" fontId="6" fillId="64" borderId="41" xfId="183" applyFont="1" applyFill="1" applyBorder="1" applyAlignment="1" applyProtection="1">
      <alignment horizontal="right" vertical="center"/>
      <protection locked="0"/>
    </xf>
    <xf numFmtId="0" fontId="6" fillId="64" borderId="43" xfId="183" applyFont="1" applyFill="1" applyBorder="1" applyAlignment="1" applyProtection="1">
      <alignment horizontal="right" vertical="center"/>
      <protection locked="0"/>
    </xf>
    <xf numFmtId="0" fontId="6" fillId="68" borderId="50" xfId="183" applyFont="1" applyFill="1" applyBorder="1" applyAlignment="1" applyProtection="1">
      <alignment horizontal="right" vertical="center"/>
    </xf>
    <xf numFmtId="0" fontId="6" fillId="68" borderId="51" xfId="183" applyFont="1" applyFill="1" applyBorder="1" applyAlignment="1" applyProtection="1">
      <alignment horizontal="right" vertical="center"/>
    </xf>
    <xf numFmtId="0" fontId="6" fillId="68" borderId="53" xfId="183" applyFont="1" applyFill="1" applyBorder="1" applyAlignment="1" applyProtection="1">
      <alignment horizontal="right" vertical="center"/>
    </xf>
    <xf numFmtId="0" fontId="5" fillId="0" borderId="54" xfId="183" applyFont="1" applyBorder="1" applyAlignment="1" applyProtection="1">
      <alignment horizontal="left" vertical="center" wrapText="1" indent="1"/>
    </xf>
    <xf numFmtId="197" fontId="6" fillId="69" borderId="68" xfId="183" applyNumberFormat="1" applyFont="1" applyFill="1" applyBorder="1" applyAlignment="1" applyProtection="1">
      <alignment vertical="center" wrapText="1"/>
      <protection locked="0"/>
    </xf>
    <xf numFmtId="197" fontId="6" fillId="69" borderId="69" xfId="183" applyNumberFormat="1" applyFont="1" applyFill="1" applyBorder="1" applyAlignment="1" applyProtection="1">
      <alignment vertical="center" wrapText="1"/>
      <protection locked="0"/>
    </xf>
    <xf numFmtId="197" fontId="6" fillId="69" borderId="70" xfId="183" applyNumberFormat="1" applyFont="1" applyFill="1" applyBorder="1" applyAlignment="1" applyProtection="1">
      <alignment vertical="center" wrapText="1"/>
      <protection locked="0"/>
    </xf>
    <xf numFmtId="197" fontId="5" fillId="5" borderId="68" xfId="183" applyNumberFormat="1" applyFont="1" applyFill="1" applyBorder="1" applyAlignment="1">
      <alignment horizontal="right" vertical="center" wrapText="1"/>
    </xf>
    <xf numFmtId="197" fontId="5" fillId="5" borderId="69" xfId="183" applyNumberFormat="1" applyFont="1" applyFill="1" applyBorder="1" applyAlignment="1">
      <alignment horizontal="right" vertical="center" wrapText="1"/>
    </xf>
    <xf numFmtId="2" fontId="5" fillId="5" borderId="68" xfId="183" applyNumberFormat="1" applyFont="1" applyFill="1" applyBorder="1" applyAlignment="1">
      <alignment horizontal="right" vertical="center" wrapText="1"/>
    </xf>
    <xf numFmtId="2" fontId="5" fillId="5" borderId="69" xfId="183" applyNumberFormat="1" applyFont="1" applyFill="1" applyBorder="1" applyAlignment="1">
      <alignment horizontal="right" vertical="center" wrapText="1"/>
    </xf>
    <xf numFmtId="2" fontId="5" fillId="5" borderId="70" xfId="183" applyNumberFormat="1" applyFont="1" applyFill="1" applyBorder="1" applyAlignment="1">
      <alignment horizontal="right" vertical="center" wrapText="1"/>
    </xf>
    <xf numFmtId="198" fontId="5" fillId="64" borderId="0" xfId="183" applyNumberFormat="1" applyFont="1" applyFill="1" applyBorder="1" applyAlignment="1" applyProtection="1">
      <alignment horizontal="left"/>
    </xf>
    <xf numFmtId="198" fontId="5" fillId="64" borderId="78" xfId="183" applyNumberFormat="1" applyFont="1" applyFill="1" applyBorder="1" applyAlignment="1" applyProtection="1">
      <alignment horizontal="left"/>
    </xf>
    <xf numFmtId="0" fontId="5" fillId="0" borderId="0" xfId="183" applyFill="1" applyProtection="1"/>
    <xf numFmtId="0" fontId="125" fillId="64" borderId="79" xfId="183" applyFont="1" applyFill="1" applyBorder="1" applyAlignment="1" applyProtection="1">
      <alignment horizontal="left" vertical="center" wrapText="1" indent="1"/>
    </xf>
    <xf numFmtId="0" fontId="6" fillId="64" borderId="80" xfId="183" applyFont="1" applyFill="1" applyBorder="1" applyAlignment="1" applyProtection="1">
      <alignment vertical="center"/>
    </xf>
    <xf numFmtId="0" fontId="6" fillId="64" borderId="81" xfId="183" applyFont="1" applyFill="1" applyBorder="1" applyAlignment="1" applyProtection="1">
      <alignment vertical="center"/>
    </xf>
    <xf numFmtId="0" fontId="6" fillId="64" borderId="82" xfId="183" applyFont="1" applyFill="1" applyBorder="1" applyAlignment="1" applyProtection="1">
      <alignment vertical="center"/>
    </xf>
    <xf numFmtId="198" fontId="6" fillId="18" borderId="80" xfId="183" applyNumberFormat="1" applyFont="1" applyFill="1" applyBorder="1" applyAlignment="1" applyProtection="1">
      <alignment horizontal="left"/>
      <protection locked="0"/>
    </xf>
    <xf numFmtId="198" fontId="6" fillId="18" borderId="81" xfId="183" applyNumberFormat="1" applyFont="1" applyFill="1" applyBorder="1" applyAlignment="1" applyProtection="1">
      <alignment horizontal="left"/>
      <protection locked="0"/>
    </xf>
    <xf numFmtId="198" fontId="6" fillId="18" borderId="82" xfId="183" applyNumberFormat="1" applyFont="1" applyFill="1" applyBorder="1" applyAlignment="1" applyProtection="1">
      <alignment horizontal="left"/>
      <protection locked="0"/>
    </xf>
    <xf numFmtId="0" fontId="5" fillId="0" borderId="79" xfId="183" applyFont="1" applyBorder="1" applyAlignment="1" applyProtection="1">
      <alignment horizontal="left" vertical="center" indent="3"/>
    </xf>
    <xf numFmtId="197" fontId="5" fillId="69" borderId="80" xfId="183" applyNumberFormat="1" applyFont="1" applyFill="1" applyBorder="1" applyAlignment="1" applyProtection="1">
      <alignment vertical="center" wrapText="1"/>
      <protection locked="0"/>
    </xf>
    <xf numFmtId="197" fontId="5" fillId="69" borderId="81" xfId="183" applyNumberFormat="1" applyFont="1" applyFill="1" applyBorder="1" applyAlignment="1" applyProtection="1">
      <alignment vertical="center" wrapText="1"/>
      <protection locked="0"/>
    </xf>
    <xf numFmtId="197" fontId="5" fillId="69" borderId="82" xfId="183" applyNumberFormat="1" applyFont="1" applyFill="1" applyBorder="1" applyAlignment="1" applyProtection="1">
      <alignment vertical="center" wrapText="1"/>
      <protection locked="0"/>
    </xf>
    <xf numFmtId="197" fontId="5" fillId="5" borderId="80" xfId="183" applyNumberFormat="1" applyFont="1" applyFill="1" applyBorder="1" applyAlignment="1">
      <alignment horizontal="right" wrapText="1"/>
    </xf>
    <xf numFmtId="197" fontId="5" fillId="5" borderId="81" xfId="183" applyNumberFormat="1" applyFont="1" applyFill="1" applyBorder="1" applyAlignment="1">
      <alignment horizontal="right" wrapText="1"/>
    </xf>
    <xf numFmtId="197" fontId="5" fillId="5" borderId="82" xfId="183" applyNumberFormat="1" applyFont="1" applyFill="1" applyBorder="1" applyAlignment="1">
      <alignment horizontal="right" wrapText="1"/>
    </xf>
    <xf numFmtId="0" fontId="5" fillId="0" borderId="0" xfId="183" applyFill="1" applyAlignment="1" applyProtection="1">
      <alignment horizontal="right"/>
    </xf>
    <xf numFmtId="0" fontId="5" fillId="0" borderId="79" xfId="183" applyFont="1" applyBorder="1" applyAlignment="1" applyProtection="1">
      <alignment horizontal="left" vertical="center" wrapText="1" indent="3"/>
    </xf>
    <xf numFmtId="0" fontId="5" fillId="0" borderId="79" xfId="183" applyFont="1" applyBorder="1" applyAlignment="1" applyProtection="1">
      <alignment horizontal="left" vertical="center" wrapText="1" indent="1"/>
    </xf>
    <xf numFmtId="0" fontId="5" fillId="0" borderId="60" xfId="183" applyFont="1" applyBorder="1" applyAlignment="1" applyProtection="1">
      <alignment horizontal="left" vertical="center" wrapText="1" indent="1"/>
    </xf>
    <xf numFmtId="197" fontId="5" fillId="69" borderId="71" xfId="183" applyNumberFormat="1" applyFont="1" applyFill="1" applyBorder="1" applyAlignment="1" applyProtection="1">
      <alignment vertical="center" wrapText="1"/>
      <protection locked="0"/>
    </xf>
    <xf numFmtId="197" fontId="5" fillId="69" borderId="72" xfId="183" applyNumberFormat="1" applyFont="1" applyFill="1" applyBorder="1" applyAlignment="1" applyProtection="1">
      <alignment vertical="center" wrapText="1"/>
      <protection locked="0"/>
    </xf>
    <xf numFmtId="197" fontId="5" fillId="69" borderId="73" xfId="183" applyNumberFormat="1" applyFont="1" applyFill="1" applyBorder="1" applyAlignment="1" applyProtection="1">
      <alignment vertical="center" wrapText="1"/>
      <protection locked="0"/>
    </xf>
    <xf numFmtId="0" fontId="5" fillId="64" borderId="83" xfId="183" applyFont="1" applyFill="1" applyBorder="1" applyAlignment="1" applyProtection="1">
      <alignment horizontal="left" vertical="center" wrapText="1" indent="1"/>
    </xf>
    <xf numFmtId="197" fontId="126" fillId="70" borderId="48" xfId="183" applyNumberFormat="1" applyFont="1" applyFill="1" applyBorder="1" applyAlignment="1" applyProtection="1">
      <alignment horizontal="right" wrapText="1"/>
    </xf>
    <xf numFmtId="197" fontId="126" fillId="70" borderId="84" xfId="183" applyNumberFormat="1" applyFont="1" applyFill="1" applyBorder="1" applyAlignment="1" applyProtection="1">
      <alignment horizontal="right" wrapText="1"/>
    </xf>
    <xf numFmtId="197" fontId="126" fillId="70" borderId="85" xfId="183" applyNumberFormat="1" applyFont="1" applyFill="1" applyBorder="1" applyAlignment="1" applyProtection="1">
      <alignment horizontal="right" wrapText="1"/>
    </xf>
    <xf numFmtId="197" fontId="126" fillId="70" borderId="50" xfId="183" applyNumberFormat="1" applyFont="1" applyFill="1" applyBorder="1" applyAlignment="1" applyProtection="1">
      <alignment horizontal="right" wrapText="1"/>
    </xf>
    <xf numFmtId="197" fontId="126" fillId="70" borderId="51" xfId="183" applyNumberFormat="1" applyFont="1" applyFill="1" applyBorder="1" applyAlignment="1" applyProtection="1">
      <alignment horizontal="right" wrapText="1"/>
    </xf>
    <xf numFmtId="197" fontId="126" fillId="70" borderId="86" xfId="183" applyNumberFormat="1" applyFont="1" applyFill="1" applyBorder="1" applyAlignment="1" applyProtection="1">
      <alignment horizontal="right" wrapText="1"/>
    </xf>
    <xf numFmtId="197" fontId="126" fillId="70" borderId="53" xfId="183" applyNumberFormat="1" applyFont="1" applyFill="1" applyBorder="1" applyAlignment="1" applyProtection="1">
      <alignment horizontal="right" wrapText="1"/>
    </xf>
    <xf numFmtId="198" fontId="5" fillId="64" borderId="24" xfId="183" applyNumberFormat="1" applyFont="1" applyFill="1" applyBorder="1" applyAlignment="1" applyProtection="1">
      <alignment horizontal="left"/>
    </xf>
    <xf numFmtId="198" fontId="5" fillId="64" borderId="39" xfId="183" applyNumberFormat="1" applyFont="1" applyFill="1" applyBorder="1" applyAlignment="1" applyProtection="1">
      <alignment horizontal="left"/>
    </xf>
    <xf numFmtId="0" fontId="125" fillId="0" borderId="43" xfId="183" applyFont="1" applyFill="1" applyBorder="1" applyAlignment="1" applyProtection="1">
      <alignment vertical="center"/>
    </xf>
    <xf numFmtId="0" fontId="125" fillId="0" borderId="0" xfId="183" applyFont="1" applyFill="1" applyBorder="1" applyAlignment="1" applyProtection="1">
      <alignment vertical="center"/>
    </xf>
    <xf numFmtId="197" fontId="127" fillId="0" borderId="0" xfId="183" applyNumberFormat="1" applyFont="1" applyBorder="1" applyProtection="1"/>
    <xf numFmtId="197" fontId="127" fillId="0" borderId="24" xfId="183" applyNumberFormat="1" applyFont="1" applyBorder="1" applyProtection="1"/>
    <xf numFmtId="0" fontId="5" fillId="0" borderId="24" xfId="183" applyBorder="1"/>
    <xf numFmtId="198" fontId="128" fillId="0" borderId="0" xfId="183" applyNumberFormat="1" applyFont="1" applyFill="1" applyBorder="1" applyAlignment="1" applyProtection="1">
      <alignment horizontal="left"/>
    </xf>
    <xf numFmtId="198" fontId="128" fillId="0" borderId="78" xfId="183" applyNumberFormat="1" applyFont="1" applyFill="1" applyBorder="1" applyAlignment="1" applyProtection="1">
      <alignment horizontal="left"/>
    </xf>
    <xf numFmtId="0" fontId="122" fillId="18" borderId="37" xfId="183" applyFont="1" applyFill="1" applyBorder="1" applyAlignment="1" applyProtection="1">
      <alignment horizontal="left" vertical="center"/>
      <protection locked="0"/>
    </xf>
    <xf numFmtId="0" fontId="5" fillId="0" borderId="87" xfId="183" applyBorder="1"/>
    <xf numFmtId="0" fontId="124" fillId="64" borderId="88" xfId="183" applyFont="1" applyFill="1" applyBorder="1" applyAlignment="1" applyProtection="1">
      <alignment horizontal="center"/>
    </xf>
    <xf numFmtId="0" fontId="124" fillId="64" borderId="89" xfId="183" applyFont="1" applyFill="1" applyBorder="1" applyAlignment="1" applyProtection="1">
      <alignment horizontal="center"/>
    </xf>
    <xf numFmtId="0" fontId="122" fillId="5" borderId="0" xfId="183" applyFont="1" applyFill="1" applyBorder="1" applyAlignment="1" applyProtection="1">
      <alignment horizontal="left" vertical="center"/>
      <protection locked="0"/>
    </xf>
    <xf numFmtId="0" fontId="124" fillId="67" borderId="45" xfId="183" applyFont="1" applyFill="1" applyBorder="1" applyAlignment="1" applyProtection="1">
      <alignment horizontal="center"/>
    </xf>
    <xf numFmtId="0" fontId="124" fillId="67" borderId="42" xfId="183" applyFont="1" applyFill="1" applyBorder="1" applyAlignment="1" applyProtection="1">
      <alignment horizontal="center"/>
    </xf>
    <xf numFmtId="0" fontId="124" fillId="67" borderId="90" xfId="183" applyFont="1" applyFill="1" applyBorder="1" applyAlignment="1" applyProtection="1">
      <alignment horizontal="center"/>
    </xf>
    <xf numFmtId="198" fontId="5" fillId="10" borderId="45" xfId="183" applyNumberFormat="1" applyFont="1" applyFill="1" applyBorder="1" applyAlignment="1" applyProtection="1">
      <alignment horizontal="left"/>
      <protection locked="0"/>
    </xf>
    <xf numFmtId="198" fontId="5" fillId="10" borderId="42" xfId="183" applyNumberFormat="1" applyFont="1" applyFill="1" applyBorder="1" applyAlignment="1" applyProtection="1">
      <alignment horizontal="left"/>
      <protection locked="0"/>
    </xf>
    <xf numFmtId="198" fontId="5" fillId="10" borderId="90" xfId="183" applyNumberFormat="1" applyFont="1" applyFill="1" applyBorder="1" applyAlignment="1" applyProtection="1">
      <alignment horizontal="left"/>
      <protection locked="0"/>
    </xf>
    <xf numFmtId="0" fontId="129" fillId="5" borderId="0" xfId="183" applyFont="1" applyFill="1" applyBorder="1" applyAlignment="1" applyProtection="1">
      <alignment horizontal="right"/>
      <protection locked="0"/>
    </xf>
    <xf numFmtId="198" fontId="5" fillId="10" borderId="44" xfId="183" applyNumberFormat="1" applyFont="1" applyFill="1" applyBorder="1" applyAlignment="1" applyProtection="1">
      <alignment horizontal="left"/>
      <protection locked="0"/>
    </xf>
    <xf numFmtId="198" fontId="5" fillId="10" borderId="0" xfId="183" applyNumberFormat="1" applyFont="1" applyFill="1" applyBorder="1" applyAlignment="1" applyProtection="1">
      <alignment horizontal="left"/>
      <protection locked="0"/>
    </xf>
    <xf numFmtId="198" fontId="5" fillId="10" borderId="78" xfId="183" applyNumberFormat="1" applyFont="1" applyFill="1" applyBorder="1" applyAlignment="1" applyProtection="1">
      <alignment horizontal="left"/>
      <protection locked="0"/>
    </xf>
    <xf numFmtId="197" fontId="6" fillId="69" borderId="91" xfId="183" applyNumberFormat="1" applyFont="1" applyFill="1" applyBorder="1" applyAlignment="1" applyProtection="1">
      <alignment vertical="center" wrapText="1"/>
      <protection locked="0"/>
    </xf>
    <xf numFmtId="2" fontId="6" fillId="64" borderId="40" xfId="183" applyNumberFormat="1" applyFont="1" applyFill="1" applyBorder="1" applyAlignment="1" applyProtection="1"/>
    <xf numFmtId="199" fontId="5" fillId="5" borderId="68" xfId="183" applyNumberFormat="1" applyFont="1" applyFill="1" applyBorder="1" applyAlignment="1" applyProtection="1">
      <alignment horizontal="right" vertical="center"/>
    </xf>
    <xf numFmtId="199" fontId="5" fillId="5" borderId="69" xfId="183" applyNumberFormat="1" applyFont="1" applyFill="1" applyBorder="1" applyAlignment="1" applyProtection="1">
      <alignment horizontal="right" vertical="center"/>
    </xf>
    <xf numFmtId="199" fontId="5" fillId="5" borderId="91" xfId="183" applyNumberFormat="1" applyFont="1" applyFill="1" applyBorder="1" applyAlignment="1" applyProtection="1">
      <alignment horizontal="right" vertical="center"/>
    </xf>
    <xf numFmtId="165" fontId="6" fillId="64" borderId="40" xfId="183" applyNumberFormat="1" applyFont="1" applyFill="1" applyBorder="1" applyAlignment="1" applyProtection="1">
      <alignment horizontal="left"/>
      <protection locked="0"/>
    </xf>
    <xf numFmtId="198" fontId="5" fillId="10" borderId="0" xfId="183" applyNumberFormat="1" applyFont="1" applyFill="1" applyBorder="1" applyAlignment="1" applyProtection="1">
      <alignment horizontal="left"/>
    </xf>
    <xf numFmtId="198" fontId="5" fillId="10" borderId="78" xfId="183" applyNumberFormat="1" applyFont="1" applyFill="1" applyBorder="1" applyAlignment="1" applyProtection="1">
      <alignment horizontal="left"/>
    </xf>
    <xf numFmtId="0" fontId="125" fillId="18" borderId="79" xfId="183" applyFont="1" applyFill="1" applyBorder="1" applyAlignment="1" applyProtection="1">
      <alignment horizontal="left" vertical="center" wrapText="1" indent="1"/>
    </xf>
    <xf numFmtId="197" fontId="6" fillId="64" borderId="80" xfId="183" applyNumberFormat="1" applyFont="1" applyFill="1" applyBorder="1" applyAlignment="1" applyProtection="1"/>
    <xf numFmtId="197" fontId="6" fillId="64" borderId="81" xfId="183" applyNumberFormat="1" applyFont="1" applyFill="1" applyBorder="1" applyAlignment="1" applyProtection="1"/>
    <xf numFmtId="197" fontId="6" fillId="64" borderId="92" xfId="183" applyNumberFormat="1" applyFont="1" applyFill="1" applyBorder="1" applyAlignment="1" applyProtection="1"/>
    <xf numFmtId="2" fontId="6" fillId="64" borderId="93" xfId="183" applyNumberFormat="1" applyFont="1" applyFill="1" applyBorder="1" applyAlignment="1" applyProtection="1"/>
    <xf numFmtId="198" fontId="6" fillId="64" borderId="80" xfId="183" applyNumberFormat="1" applyFont="1" applyFill="1" applyBorder="1" applyAlignment="1" applyProtection="1">
      <alignment horizontal="left"/>
    </xf>
    <xf numFmtId="198" fontId="6" fillId="64" borderId="81" xfId="183" applyNumberFormat="1" applyFont="1" applyFill="1" applyBorder="1" applyAlignment="1" applyProtection="1">
      <alignment horizontal="left"/>
    </xf>
    <xf numFmtId="198" fontId="6" fillId="64" borderId="92" xfId="183" applyNumberFormat="1" applyFont="1" applyFill="1" applyBorder="1" applyAlignment="1" applyProtection="1">
      <alignment horizontal="left"/>
    </xf>
    <xf numFmtId="200" fontId="6" fillId="64" borderId="93" xfId="183" applyNumberFormat="1" applyFont="1" applyFill="1" applyBorder="1" applyAlignment="1" applyProtection="1">
      <alignment horizontal="right"/>
      <protection locked="0"/>
    </xf>
    <xf numFmtId="197" fontId="5" fillId="69" borderId="92" xfId="183" applyNumberFormat="1" applyFont="1" applyFill="1" applyBorder="1" applyAlignment="1" applyProtection="1">
      <alignment vertical="center" wrapText="1"/>
      <protection locked="0"/>
    </xf>
    <xf numFmtId="199" fontId="5" fillId="5" borderId="80" xfId="183" applyNumberFormat="1" applyFont="1" applyFill="1" applyBorder="1" applyAlignment="1" applyProtection="1">
      <alignment horizontal="right" vertical="center"/>
    </xf>
    <xf numFmtId="199" fontId="5" fillId="5" borderId="81" xfId="183" applyNumberFormat="1" applyFont="1" applyFill="1" applyBorder="1" applyAlignment="1" applyProtection="1">
      <alignment horizontal="right" vertical="center"/>
    </xf>
    <xf numFmtId="199" fontId="5" fillId="5" borderId="92" xfId="183" applyNumberFormat="1" applyFont="1" applyFill="1" applyBorder="1" applyAlignment="1" applyProtection="1">
      <alignment horizontal="right" vertical="center"/>
    </xf>
    <xf numFmtId="4" fontId="6" fillId="64" borderId="93" xfId="183" applyNumberFormat="1" applyFont="1" applyFill="1" applyBorder="1" applyAlignment="1" applyProtection="1">
      <alignment horizontal="right"/>
      <protection locked="0"/>
    </xf>
    <xf numFmtId="0" fontId="128" fillId="0" borderId="0" xfId="183" applyFont="1" applyFill="1" applyProtection="1"/>
    <xf numFmtId="0" fontId="5" fillId="0" borderId="0" xfId="183" applyFill="1" applyBorder="1" applyProtection="1"/>
    <xf numFmtId="0" fontId="129" fillId="64" borderId="93" xfId="183" applyFont="1" applyFill="1" applyBorder="1"/>
    <xf numFmtId="197" fontId="5" fillId="69" borderId="94" xfId="183" applyNumberFormat="1" applyFont="1" applyFill="1" applyBorder="1" applyAlignment="1" applyProtection="1">
      <alignment vertical="center" wrapText="1"/>
      <protection locked="0"/>
    </xf>
    <xf numFmtId="197" fontId="5" fillId="69" borderId="95" xfId="183" applyNumberFormat="1" applyFont="1" applyFill="1" applyBorder="1" applyAlignment="1" applyProtection="1">
      <alignment vertical="center" wrapText="1"/>
      <protection locked="0"/>
    </xf>
    <xf numFmtId="197" fontId="5" fillId="69" borderId="96" xfId="183" applyNumberFormat="1" applyFont="1" applyFill="1" applyBorder="1" applyAlignment="1" applyProtection="1">
      <alignment vertical="center" wrapText="1"/>
      <protection locked="0"/>
    </xf>
    <xf numFmtId="199" fontId="5" fillId="5" borderId="94" xfId="183" applyNumberFormat="1" applyFont="1" applyFill="1" applyBorder="1" applyAlignment="1" applyProtection="1">
      <alignment horizontal="right" vertical="center"/>
    </xf>
    <xf numFmtId="199" fontId="5" fillId="5" borderId="95" xfId="183" applyNumberFormat="1" applyFont="1" applyFill="1" applyBorder="1" applyAlignment="1" applyProtection="1">
      <alignment horizontal="right" vertical="center"/>
    </xf>
    <xf numFmtId="199" fontId="5" fillId="5" borderId="96" xfId="183" applyNumberFormat="1" applyFont="1" applyFill="1" applyBorder="1" applyAlignment="1" applyProtection="1">
      <alignment horizontal="right" vertical="center"/>
    </xf>
    <xf numFmtId="197" fontId="5" fillId="69" borderId="97" xfId="183" applyNumberFormat="1" applyFont="1" applyFill="1" applyBorder="1" applyAlignment="1" applyProtection="1">
      <alignment vertical="center" wrapText="1"/>
      <protection locked="0"/>
    </xf>
    <xf numFmtId="197" fontId="126" fillId="70" borderId="98" xfId="183" applyNumberFormat="1" applyFont="1" applyFill="1" applyBorder="1" applyAlignment="1" applyProtection="1">
      <alignment vertical="center"/>
    </xf>
    <xf numFmtId="197" fontId="126" fillId="70" borderId="99" xfId="183" applyNumberFormat="1" applyFont="1" applyFill="1" applyBorder="1" applyAlignment="1" applyProtection="1">
      <alignment vertical="center"/>
    </xf>
    <xf numFmtId="197" fontId="126" fillId="70" borderId="38" xfId="183" applyNumberFormat="1" applyFont="1" applyFill="1" applyBorder="1" applyAlignment="1" applyProtection="1">
      <alignment horizontal="right" wrapText="1"/>
    </xf>
    <xf numFmtId="197" fontId="126" fillId="70" borderId="24" xfId="183" applyNumberFormat="1" applyFont="1" applyFill="1" applyBorder="1" applyAlignment="1" applyProtection="1">
      <alignment vertical="center"/>
    </xf>
    <xf numFmtId="0" fontId="126" fillId="70" borderId="38" xfId="183" applyFont="1" applyFill="1" applyBorder="1" applyAlignment="1" applyProtection="1">
      <alignment vertical="center"/>
    </xf>
    <xf numFmtId="197" fontId="126" fillId="70" borderId="50" xfId="183" applyNumberFormat="1" applyFont="1" applyFill="1" applyBorder="1" applyAlignment="1" applyProtection="1">
      <alignment vertical="center"/>
    </xf>
    <xf numFmtId="197" fontId="126" fillId="70" borderId="51" xfId="183" applyNumberFormat="1" applyFont="1" applyFill="1" applyBorder="1" applyAlignment="1" applyProtection="1">
      <alignment vertical="center"/>
    </xf>
    <xf numFmtId="197" fontId="126" fillId="70" borderId="100" xfId="183" applyNumberFormat="1" applyFont="1" applyFill="1" applyBorder="1" applyAlignment="1" applyProtection="1">
      <alignment vertical="center"/>
    </xf>
    <xf numFmtId="197" fontId="126" fillId="70" borderId="36" xfId="183" applyNumberFormat="1" applyFont="1" applyFill="1" applyBorder="1" applyAlignment="1" applyProtection="1">
      <alignment vertical="center"/>
    </xf>
    <xf numFmtId="198" fontId="5" fillId="10" borderId="24" xfId="183" applyNumberFormat="1" applyFont="1" applyFill="1" applyBorder="1" applyAlignment="1" applyProtection="1">
      <alignment horizontal="left"/>
    </xf>
    <xf numFmtId="198" fontId="5" fillId="10" borderId="39" xfId="183" applyNumberFormat="1" applyFont="1" applyFill="1" applyBorder="1" applyAlignment="1" applyProtection="1">
      <alignment horizontal="left"/>
    </xf>
    <xf numFmtId="0" fontId="129" fillId="5" borderId="0" xfId="183" applyFont="1" applyFill="1" applyProtection="1"/>
    <xf numFmtId="0" fontId="129" fillId="5" borderId="42" xfId="183" applyFont="1" applyFill="1" applyBorder="1" applyProtection="1"/>
    <xf numFmtId="0" fontId="129" fillId="0" borderId="43" xfId="183" applyFont="1" applyFill="1" applyBorder="1" applyProtection="1"/>
    <xf numFmtId="0" fontId="129" fillId="5" borderId="43" xfId="183" applyFont="1" applyFill="1" applyBorder="1" applyProtection="1"/>
    <xf numFmtId="0" fontId="129" fillId="5" borderId="0" xfId="183" applyFont="1" applyFill="1" applyBorder="1" applyProtection="1"/>
    <xf numFmtId="0" fontId="129" fillId="5" borderId="0" xfId="183" applyFont="1" applyFill="1"/>
    <xf numFmtId="0" fontId="129" fillId="5" borderId="0" xfId="183" applyFont="1" applyFill="1" applyBorder="1" applyProtection="1">
      <protection locked="0"/>
    </xf>
    <xf numFmtId="0" fontId="10" fillId="64" borderId="41" xfId="183" applyFont="1" applyFill="1" applyBorder="1" applyAlignment="1" applyProtection="1">
      <alignment horizontal="left" vertical="center"/>
    </xf>
    <xf numFmtId="0" fontId="6" fillId="64" borderId="43" xfId="183" applyFont="1" applyFill="1" applyBorder="1" applyAlignment="1" applyProtection="1">
      <alignment horizontal="left" vertical="center"/>
    </xf>
    <xf numFmtId="0" fontId="6" fillId="64" borderId="42" xfId="183" applyFont="1" applyFill="1" applyBorder="1" applyAlignment="1" applyProtection="1">
      <alignment horizontal="left" vertical="center"/>
    </xf>
    <xf numFmtId="0" fontId="6" fillId="64" borderId="90" xfId="183" applyFont="1" applyFill="1" applyBorder="1" applyAlignment="1" applyProtection="1">
      <alignment horizontal="left" vertical="center"/>
    </xf>
    <xf numFmtId="0" fontId="5" fillId="5" borderId="0" xfId="183" applyFill="1" applyProtection="1">
      <protection locked="0"/>
    </xf>
    <xf numFmtId="0" fontId="6" fillId="18" borderId="83" xfId="183" applyFont="1" applyFill="1" applyBorder="1" applyAlignment="1" applyProtection="1">
      <alignment horizontal="left"/>
    </xf>
    <xf numFmtId="0" fontId="6" fillId="18" borderId="24" xfId="183" applyFont="1" applyFill="1" applyBorder="1" applyAlignment="1" applyProtection="1">
      <alignment horizontal="left"/>
    </xf>
    <xf numFmtId="199" fontId="5" fillId="5" borderId="50" xfId="183" applyNumberFormat="1" applyFont="1" applyFill="1" applyBorder="1" applyAlignment="1" applyProtection="1">
      <alignment horizontal="right" vertical="center"/>
    </xf>
    <xf numFmtId="199" fontId="5" fillId="5" borderId="51" xfId="183" applyNumberFormat="1" applyFont="1" applyFill="1" applyBorder="1" applyAlignment="1" applyProtection="1">
      <alignment horizontal="right" vertical="center"/>
    </xf>
    <xf numFmtId="199" fontId="5" fillId="5" borderId="52" xfId="183" applyNumberFormat="1" applyFont="1" applyFill="1" applyBorder="1" applyAlignment="1" applyProtection="1">
      <alignment horizontal="right" vertical="center"/>
    </xf>
    <xf numFmtId="198" fontId="5" fillId="18" borderId="5" xfId="183" applyNumberFormat="1" applyFont="1" applyFill="1" applyBorder="1" applyAlignment="1" applyProtection="1">
      <alignment horizontal="left"/>
    </xf>
    <xf numFmtId="198" fontId="5" fillId="18" borderId="2" xfId="183" applyNumberFormat="1" applyFont="1" applyFill="1" applyBorder="1" applyAlignment="1" applyProtection="1">
      <alignment horizontal="left"/>
    </xf>
    <xf numFmtId="198" fontId="5" fillId="18" borderId="101" xfId="183" applyNumberFormat="1" applyFont="1" applyFill="1" applyBorder="1" applyAlignment="1" applyProtection="1">
      <alignment horizontal="left"/>
    </xf>
    <xf numFmtId="0" fontId="6" fillId="0" borderId="0" xfId="183" applyFont="1" applyFill="1" applyBorder="1" applyAlignment="1" applyProtection="1">
      <alignment horizontal="left"/>
    </xf>
    <xf numFmtId="0" fontId="6" fillId="0" borderId="0" xfId="183" quotePrefix="1" applyFont="1" applyFill="1" applyBorder="1" applyAlignment="1" applyProtection="1">
      <alignment horizontal="left"/>
    </xf>
    <xf numFmtId="0" fontId="129" fillId="5" borderId="0" xfId="183" applyFont="1" applyFill="1" applyAlignment="1" applyProtection="1">
      <alignment horizontal="right"/>
      <protection locked="0"/>
    </xf>
    <xf numFmtId="0" fontId="10" fillId="64" borderId="45" xfId="183" applyFont="1" applyFill="1" applyBorder="1" applyAlignment="1" applyProtection="1">
      <alignment horizontal="left" vertical="center"/>
    </xf>
    <xf numFmtId="0" fontId="6" fillId="67" borderId="41" xfId="183" applyFont="1" applyFill="1" applyBorder="1" applyAlignment="1" applyProtection="1">
      <alignment horizontal="center" vertical="center"/>
    </xf>
    <xf numFmtId="0" fontId="6" fillId="67" borderId="43" xfId="183" applyFont="1" applyFill="1" applyBorder="1" applyAlignment="1" applyProtection="1">
      <alignment horizontal="center" vertical="center"/>
    </xf>
    <xf numFmtId="0" fontId="6" fillId="67" borderId="37" xfId="183" applyFont="1" applyFill="1" applyBorder="1" applyAlignment="1" applyProtection="1">
      <alignment horizontal="center" vertical="center"/>
    </xf>
    <xf numFmtId="0" fontId="10" fillId="64" borderId="57" xfId="183" applyFont="1" applyFill="1" applyBorder="1" applyAlignment="1" applyProtection="1">
      <alignment horizontal="left" vertical="center"/>
    </xf>
    <xf numFmtId="0" fontId="5" fillId="0" borderId="0" xfId="183" applyFill="1" applyProtection="1">
      <protection locked="0"/>
    </xf>
    <xf numFmtId="0" fontId="5" fillId="5" borderId="68" xfId="183" applyFont="1" applyFill="1" applyBorder="1" applyAlignment="1" applyProtection="1">
      <alignment horizontal="right" indent="2"/>
    </xf>
    <xf numFmtId="0" fontId="5" fillId="5" borderId="91" xfId="183" applyFont="1" applyFill="1" applyBorder="1" applyAlignment="1" applyProtection="1">
      <alignment horizontal="right" indent="2"/>
    </xf>
    <xf numFmtId="0" fontId="5" fillId="64" borderId="40" xfId="183" applyFont="1" applyFill="1" applyBorder="1" applyAlignment="1" applyProtection="1">
      <alignment horizontal="right" indent="2"/>
    </xf>
    <xf numFmtId="199" fontId="5" fillId="5" borderId="43" xfId="183" applyNumberFormat="1" applyFont="1" applyFill="1" applyBorder="1" applyAlignment="1" applyProtection="1">
      <alignment horizontal="right" vertical="center"/>
    </xf>
    <xf numFmtId="199" fontId="5" fillId="5" borderId="102" xfId="183" applyNumberFormat="1" applyFont="1" applyFill="1" applyBorder="1" applyAlignment="1" applyProtection="1">
      <alignment horizontal="right" vertical="center"/>
    </xf>
    <xf numFmtId="199" fontId="5" fillId="5" borderId="103" xfId="183" applyNumberFormat="1" applyFont="1" applyFill="1" applyBorder="1" applyAlignment="1" applyProtection="1">
      <alignment horizontal="right" vertical="center"/>
    </xf>
    <xf numFmtId="199" fontId="5" fillId="10" borderId="42" xfId="183" applyNumberFormat="1" applyFont="1" applyFill="1" applyBorder="1" applyAlignment="1" applyProtection="1">
      <alignment horizontal="right" vertical="center"/>
    </xf>
    <xf numFmtId="199" fontId="5" fillId="10" borderId="90" xfId="183" applyNumberFormat="1" applyFont="1" applyFill="1" applyBorder="1" applyAlignment="1" applyProtection="1">
      <alignment horizontal="right" vertical="center"/>
    </xf>
    <xf numFmtId="199" fontId="5" fillId="10" borderId="93" xfId="183" applyNumberFormat="1" applyFont="1" applyFill="1" applyBorder="1" applyAlignment="1" applyProtection="1">
      <alignment horizontal="right"/>
    </xf>
    <xf numFmtId="0" fontId="5" fillId="5" borderId="80" xfId="183" applyFont="1" applyFill="1" applyBorder="1" applyAlignment="1" applyProtection="1">
      <alignment horizontal="right" indent="2"/>
    </xf>
    <xf numFmtId="0" fontId="5" fillId="5" borderId="92" xfId="183" applyFont="1" applyFill="1" applyBorder="1" applyAlignment="1" applyProtection="1">
      <alignment horizontal="right" indent="2"/>
    </xf>
    <xf numFmtId="0" fontId="5" fillId="64" borderId="44" xfId="183" applyFont="1" applyFill="1" applyBorder="1" applyAlignment="1" applyProtection="1">
      <alignment horizontal="right" indent="2"/>
    </xf>
    <xf numFmtId="199" fontId="5" fillId="10" borderId="0" xfId="183" applyNumberFormat="1" applyFont="1" applyFill="1" applyBorder="1" applyAlignment="1" applyProtection="1">
      <alignment horizontal="left" vertical="center"/>
    </xf>
    <xf numFmtId="199" fontId="5" fillId="5" borderId="71" xfId="183" applyNumberFormat="1" applyFont="1" applyFill="1" applyBorder="1" applyAlignment="1" applyProtection="1">
      <alignment horizontal="right" vertical="center"/>
    </xf>
    <xf numFmtId="199" fontId="5" fillId="5" borderId="104" xfId="183" applyNumberFormat="1" applyFont="1" applyFill="1" applyBorder="1" applyAlignment="1" applyProtection="1">
      <alignment horizontal="right" vertical="center"/>
    </xf>
    <xf numFmtId="199" fontId="5" fillId="5" borderId="105" xfId="183" applyNumberFormat="1" applyFont="1" applyFill="1" applyBorder="1" applyAlignment="1" applyProtection="1">
      <alignment horizontal="right" vertical="center"/>
    </xf>
    <xf numFmtId="199" fontId="5" fillId="10" borderId="0" xfId="183" applyNumberFormat="1" applyFont="1" applyFill="1" applyBorder="1" applyAlignment="1" applyProtection="1">
      <alignment horizontal="right" vertical="center"/>
    </xf>
    <xf numFmtId="199" fontId="5" fillId="10" borderId="78" xfId="183" applyNumberFormat="1" applyFont="1" applyFill="1" applyBorder="1" applyAlignment="1" applyProtection="1">
      <alignment horizontal="right" vertical="center"/>
    </xf>
    <xf numFmtId="199" fontId="5" fillId="5" borderId="60" xfId="183" applyNumberFormat="1" applyFont="1" applyFill="1" applyBorder="1" applyAlignment="1" applyProtection="1">
      <alignment horizontal="right" vertical="center"/>
    </xf>
    <xf numFmtId="199" fontId="5" fillId="10" borderId="39" xfId="183" applyNumberFormat="1" applyFont="1" applyFill="1" applyBorder="1" applyAlignment="1" applyProtection="1">
      <alignment horizontal="right" vertical="center"/>
    </xf>
    <xf numFmtId="0" fontId="129" fillId="0" borderId="0" xfId="183" applyFont="1" applyAlignment="1" applyProtection="1">
      <alignment horizontal="left"/>
    </xf>
    <xf numFmtId="0" fontId="129" fillId="0" borderId="0" xfId="183" applyFont="1" applyAlignment="1" applyProtection="1">
      <alignment horizontal="left" wrapText="1"/>
    </xf>
    <xf numFmtId="0" fontId="5" fillId="64" borderId="83" xfId="183" applyFont="1" applyFill="1" applyBorder="1" applyAlignment="1" applyProtection="1">
      <alignment horizontal="right" indent="2"/>
    </xf>
    <xf numFmtId="199" fontId="5" fillId="10" borderId="24" xfId="183" applyNumberFormat="1" applyFont="1" applyFill="1" applyBorder="1" applyAlignment="1" applyProtection="1">
      <alignment horizontal="right" vertical="center"/>
    </xf>
    <xf numFmtId="199" fontId="5" fillId="10" borderId="24" xfId="183" applyNumberFormat="1" applyFont="1" applyFill="1" applyBorder="1" applyAlignment="1" applyProtection="1">
      <alignment horizontal="left" vertical="center"/>
    </xf>
    <xf numFmtId="199" fontId="5" fillId="5" borderId="72" xfId="183" applyNumberFormat="1" applyFont="1" applyFill="1" applyBorder="1" applyAlignment="1" applyProtection="1">
      <alignment horizontal="right" vertical="center"/>
    </xf>
    <xf numFmtId="199" fontId="5" fillId="5" borderId="76" xfId="183" applyNumberFormat="1" applyFont="1" applyFill="1" applyBorder="1" applyAlignment="1" applyProtection="1">
      <alignment horizontal="right" vertical="center"/>
    </xf>
    <xf numFmtId="199" fontId="5" fillId="5" borderId="97" xfId="183" applyNumberFormat="1" applyFont="1" applyFill="1" applyBorder="1" applyAlignment="1" applyProtection="1">
      <alignment horizontal="right" vertical="center"/>
    </xf>
    <xf numFmtId="199" fontId="5" fillId="5" borderId="53" xfId="183" applyNumberFormat="1" applyFont="1" applyFill="1" applyBorder="1" applyAlignment="1" applyProtection="1">
      <alignment horizontal="right" vertical="center"/>
    </xf>
    <xf numFmtId="199" fontId="5" fillId="10" borderId="38" xfId="183" applyNumberFormat="1" applyFont="1" applyFill="1" applyBorder="1" applyAlignment="1" applyProtection="1">
      <alignment horizontal="right"/>
    </xf>
    <xf numFmtId="0" fontId="126" fillId="70" borderId="83" xfId="183" applyFont="1" applyFill="1" applyBorder="1" applyAlignment="1" applyProtection="1">
      <alignment wrapText="1"/>
    </xf>
    <xf numFmtId="0" fontId="126" fillId="70" borderId="24" xfId="183" applyFont="1" applyFill="1" applyBorder="1" applyAlignment="1" applyProtection="1">
      <alignment wrapText="1"/>
    </xf>
    <xf numFmtId="199" fontId="126" fillId="70" borderId="24" xfId="183" applyNumberFormat="1" applyFont="1" applyFill="1" applyBorder="1" applyAlignment="1" applyProtection="1">
      <alignment horizontal="right"/>
    </xf>
    <xf numFmtId="199" fontId="126" fillId="70" borderId="99" xfId="183" applyNumberFormat="1" applyFont="1" applyFill="1" applyBorder="1" applyAlignment="1" applyProtection="1">
      <alignment horizontal="right"/>
    </xf>
    <xf numFmtId="199" fontId="126" fillId="70" borderId="24" xfId="183" applyNumberFormat="1" applyFont="1" applyFill="1" applyBorder="1" applyAlignment="1" applyProtection="1">
      <alignment horizontal="right" vertical="center"/>
    </xf>
    <xf numFmtId="199" fontId="126" fillId="70" borderId="106" xfId="183" applyNumberFormat="1" applyFont="1" applyFill="1" applyBorder="1" applyAlignment="1" applyProtection="1">
      <alignment horizontal="right" vertical="center"/>
    </xf>
    <xf numFmtId="199" fontId="126" fillId="70" borderId="107" xfId="183" applyNumberFormat="1" applyFont="1" applyFill="1" applyBorder="1" applyAlignment="1" applyProtection="1">
      <alignment horizontal="right" vertical="center"/>
    </xf>
    <xf numFmtId="199" fontId="126" fillId="70" borderId="99" xfId="183" applyNumberFormat="1" applyFont="1" applyFill="1" applyBorder="1" applyAlignment="1" applyProtection="1">
      <alignment horizontal="right" vertical="center"/>
    </xf>
    <xf numFmtId="199" fontId="126" fillId="70" borderId="83" xfId="183" applyNumberFormat="1" applyFont="1" applyFill="1" applyBorder="1" applyAlignment="1" applyProtection="1">
      <alignment horizontal="right" vertical="center"/>
    </xf>
    <xf numFmtId="199" fontId="126" fillId="70" borderId="38" xfId="183" applyNumberFormat="1" applyFont="1" applyFill="1" applyBorder="1" applyAlignment="1" applyProtection="1">
      <alignment horizontal="right"/>
    </xf>
    <xf numFmtId="0" fontId="6" fillId="5" borderId="0" xfId="183" applyFont="1" applyFill="1" applyBorder="1" applyAlignment="1" applyProtection="1">
      <alignment horizontal="left" wrapText="1"/>
    </xf>
    <xf numFmtId="199" fontId="6" fillId="5" borderId="42" xfId="183" applyNumberFormat="1" applyFont="1" applyFill="1" applyBorder="1" applyAlignment="1" applyProtection="1">
      <alignment horizontal="right" vertical="center"/>
    </xf>
    <xf numFmtId="0" fontId="126" fillId="70" borderId="41" xfId="183" applyFont="1" applyFill="1" applyBorder="1" applyAlignment="1" applyProtection="1">
      <alignment vertical="center"/>
    </xf>
    <xf numFmtId="0" fontId="126" fillId="70" borderId="43" xfId="183" applyFont="1" applyFill="1" applyBorder="1" applyAlignment="1" applyProtection="1">
      <alignment vertical="center"/>
    </xf>
    <xf numFmtId="2" fontId="6" fillId="70" borderId="43" xfId="183" applyNumberFormat="1" applyFont="1" applyFill="1" applyBorder="1" applyAlignment="1" applyProtection="1">
      <alignment horizontal="right"/>
    </xf>
    <xf numFmtId="2" fontId="6" fillId="70" borderId="46" xfId="183" applyNumberFormat="1" applyFont="1" applyFill="1" applyBorder="1" applyAlignment="1" applyProtection="1">
      <alignment horizontal="right"/>
    </xf>
    <xf numFmtId="199" fontId="126" fillId="70" borderId="86" xfId="183" applyNumberFormat="1" applyFont="1" applyFill="1" applyBorder="1" applyAlignment="1" applyProtection="1">
      <alignment horizontal="right" vertical="center"/>
    </xf>
    <xf numFmtId="199" fontId="126" fillId="70" borderId="51" xfId="183" applyNumberFormat="1" applyFont="1" applyFill="1" applyBorder="1" applyAlignment="1" applyProtection="1">
      <alignment horizontal="right" vertical="center"/>
    </xf>
    <xf numFmtId="199" fontId="126" fillId="70" borderId="52" xfId="183" applyNumberFormat="1" applyFont="1" applyFill="1" applyBorder="1" applyAlignment="1" applyProtection="1">
      <alignment horizontal="right"/>
    </xf>
    <xf numFmtId="0" fontId="5" fillId="0" borderId="0" xfId="183" applyProtection="1"/>
    <xf numFmtId="0" fontId="5" fillId="0" borderId="0" xfId="183" applyFont="1" applyAlignment="1" applyProtection="1">
      <alignment horizontal="left"/>
    </xf>
    <xf numFmtId="0" fontId="130" fillId="0" borderId="0" xfId="183" applyFont="1" applyFill="1" applyAlignment="1" applyProtection="1">
      <alignment horizontal="center" wrapText="1"/>
    </xf>
    <xf numFmtId="0" fontId="116" fillId="0" borderId="0" xfId="183" applyFont="1" applyProtection="1"/>
    <xf numFmtId="0" fontId="117" fillId="5" borderId="0" xfId="183" applyFont="1" applyFill="1" applyAlignment="1" applyProtection="1">
      <alignment horizontal="left" vertical="center"/>
    </xf>
    <xf numFmtId="0" fontId="95" fillId="5" borderId="0" xfId="183" applyFont="1" applyFill="1" applyAlignment="1" applyProtection="1">
      <alignment horizontal="left" vertical="center"/>
    </xf>
    <xf numFmtId="0" fontId="5" fillId="18" borderId="42" xfId="183" applyFill="1" applyBorder="1"/>
    <xf numFmtId="0" fontId="5" fillId="18" borderId="90" xfId="183" applyFill="1" applyBorder="1"/>
    <xf numFmtId="0" fontId="6" fillId="0" borderId="0" xfId="183" applyFont="1" applyFill="1" applyAlignment="1" applyProtection="1">
      <alignment vertical="center" wrapText="1"/>
    </xf>
    <xf numFmtId="0" fontId="119" fillId="0" borderId="0" xfId="183" applyFont="1" applyFill="1" applyBorder="1" applyAlignment="1" applyProtection="1">
      <alignment horizontal="left" vertical="center"/>
    </xf>
    <xf numFmtId="0" fontId="119" fillId="5" borderId="0" xfId="183" applyFont="1" applyFill="1" applyBorder="1" applyAlignment="1" applyProtection="1">
      <alignment horizontal="left" vertical="center"/>
    </xf>
    <xf numFmtId="0" fontId="5" fillId="5" borderId="0" xfId="183" applyFill="1" applyAlignment="1" applyProtection="1">
      <alignment horizontal="left" vertical="center"/>
    </xf>
    <xf numFmtId="0" fontId="2" fillId="68" borderId="108" xfId="183" applyFont="1" applyFill="1" applyBorder="1" applyAlignment="1" applyProtection="1">
      <alignment horizontal="center"/>
    </xf>
    <xf numFmtId="0" fontId="2" fillId="68" borderId="109" xfId="183" applyFont="1" applyFill="1" applyBorder="1" applyAlignment="1" applyProtection="1">
      <alignment horizontal="center"/>
    </xf>
    <xf numFmtId="0" fontId="2" fillId="68" borderId="110" xfId="183" applyFont="1" applyFill="1" applyBorder="1" applyAlignment="1" applyProtection="1">
      <alignment horizontal="center"/>
    </xf>
    <xf numFmtId="0" fontId="131" fillId="70" borderId="90" xfId="183" applyFont="1" applyFill="1" applyBorder="1" applyAlignment="1" applyProtection="1">
      <alignment horizontal="right" vertical="center" wrapText="1"/>
    </xf>
    <xf numFmtId="0" fontId="5" fillId="0" borderId="0" xfId="183" applyFont="1" applyAlignment="1" applyProtection="1">
      <protection locked="0"/>
    </xf>
    <xf numFmtId="0" fontId="5" fillId="0" borderId="0" xfId="183" applyAlignment="1" applyProtection="1">
      <alignment horizontal="left"/>
      <protection locked="0"/>
    </xf>
    <xf numFmtId="0" fontId="116" fillId="0" borderId="0" xfId="183" applyFont="1" applyProtection="1">
      <protection locked="0"/>
    </xf>
    <xf numFmtId="0" fontId="5" fillId="0" borderId="0" xfId="183" applyProtection="1">
      <protection locked="0"/>
    </xf>
    <xf numFmtId="0" fontId="117" fillId="5" borderId="0" xfId="183" applyFont="1" applyFill="1" applyAlignment="1" applyProtection="1">
      <alignment vertical="center"/>
    </xf>
    <xf numFmtId="0" fontId="6" fillId="68" borderId="111" xfId="183" applyFont="1" applyFill="1" applyBorder="1" applyAlignment="1" applyProtection="1">
      <alignment horizontal="center" vertical="center"/>
    </xf>
    <xf numFmtId="0" fontId="6" fillId="68" borderId="112" xfId="183" applyFont="1" applyFill="1" applyBorder="1" applyAlignment="1" applyProtection="1">
      <alignment horizontal="center" vertical="center"/>
    </xf>
    <xf numFmtId="0" fontId="6" fillId="68" borderId="113" xfId="183" applyFont="1" applyFill="1" applyBorder="1" applyAlignment="1" applyProtection="1">
      <alignment horizontal="center" vertical="center"/>
    </xf>
    <xf numFmtId="0" fontId="131" fillId="70" borderId="78" xfId="183" applyFont="1" applyFill="1" applyBorder="1" applyAlignment="1">
      <alignment horizontal="right" vertical="center" wrapText="1"/>
    </xf>
    <xf numFmtId="0" fontId="128" fillId="0" borderId="0" xfId="183" applyFont="1" applyProtection="1">
      <protection locked="0"/>
    </xf>
    <xf numFmtId="0" fontId="6" fillId="68" borderId="61" xfId="183" applyFont="1" applyFill="1" applyBorder="1" applyAlignment="1" applyProtection="1">
      <alignment horizontal="right" vertical="center"/>
    </xf>
    <xf numFmtId="0" fontId="6" fillId="68" borderId="62" xfId="183" applyFont="1" applyFill="1" applyBorder="1" applyAlignment="1" applyProtection="1">
      <alignment horizontal="right" vertical="center"/>
    </xf>
    <xf numFmtId="0" fontId="6" fillId="68" borderId="114" xfId="183" applyFont="1" applyFill="1" applyBorder="1" applyAlignment="1" applyProtection="1">
      <alignment horizontal="right" vertical="center"/>
    </xf>
    <xf numFmtId="0" fontId="6" fillId="5" borderId="58" xfId="183" applyFont="1" applyFill="1" applyBorder="1" applyAlignment="1" applyProtection="1">
      <alignment vertical="center" wrapText="1"/>
    </xf>
    <xf numFmtId="2" fontId="6" fillId="3" borderId="115" xfId="183" applyNumberFormat="1" applyFont="1" applyFill="1" applyBorder="1" applyAlignment="1" applyProtection="1">
      <alignment vertical="center" wrapText="1"/>
      <protection locked="0"/>
    </xf>
    <xf numFmtId="197" fontId="126" fillId="70" borderId="116" xfId="183" applyNumberFormat="1" applyFont="1" applyFill="1" applyBorder="1" applyAlignment="1" applyProtection="1">
      <alignment horizontal="right" vertical="center" wrapText="1"/>
    </xf>
    <xf numFmtId="0" fontId="5" fillId="0" borderId="0" xfId="183" applyAlignment="1" applyProtection="1">
      <alignment horizontal="left"/>
    </xf>
    <xf numFmtId="0" fontId="125" fillId="18" borderId="117" xfId="183" applyFont="1" applyFill="1" applyBorder="1" applyAlignment="1" applyProtection="1">
      <alignment horizontal="left" vertical="center" wrapText="1" indent="1"/>
    </xf>
    <xf numFmtId="0" fontId="5" fillId="64" borderId="118" xfId="183" applyFont="1" applyFill="1" applyBorder="1" applyAlignment="1" applyProtection="1">
      <alignment horizontal="right" vertical="center" wrapText="1"/>
    </xf>
    <xf numFmtId="197" fontId="5" fillId="64" borderId="119" xfId="183" applyNumberFormat="1" applyFont="1" applyFill="1" applyBorder="1" applyAlignment="1" applyProtection="1">
      <alignment horizontal="right" vertical="center" wrapText="1"/>
    </xf>
    <xf numFmtId="0" fontId="5" fillId="0" borderId="0" xfId="183" applyFont="1" applyAlignment="1" applyProtection="1"/>
    <xf numFmtId="0" fontId="132" fillId="0" borderId="0" xfId="183" applyFont="1" applyAlignment="1" applyProtection="1">
      <alignment horizontal="left"/>
    </xf>
    <xf numFmtId="2" fontId="5" fillId="3" borderId="117" xfId="183" applyNumberFormat="1" applyFont="1" applyFill="1" applyBorder="1" applyAlignment="1" applyProtection="1">
      <alignment horizontal="left" vertical="top" wrapText="1" indent="1"/>
      <protection locked="0"/>
    </xf>
    <xf numFmtId="2" fontId="5" fillId="69" borderId="118" xfId="183" applyNumberFormat="1" applyFont="1" applyFill="1" applyBorder="1" applyAlignment="1" applyProtection="1">
      <alignment vertical="center" wrapText="1"/>
      <protection locked="0"/>
    </xf>
    <xf numFmtId="197" fontId="126" fillId="70" borderId="119" xfId="183" applyNumberFormat="1" applyFont="1" applyFill="1" applyBorder="1" applyAlignment="1" applyProtection="1">
      <alignment horizontal="right" vertical="center" wrapText="1"/>
    </xf>
    <xf numFmtId="2" fontId="5" fillId="3" borderId="117" xfId="183" applyNumberFormat="1" applyFont="1" applyFill="1" applyBorder="1" applyAlignment="1" applyProtection="1">
      <alignment horizontal="left" vertical="center" wrapText="1" indent="2"/>
      <protection locked="0"/>
    </xf>
    <xf numFmtId="2" fontId="5" fillId="3" borderId="120" xfId="183" applyNumberFormat="1" applyFont="1" applyFill="1" applyBorder="1" applyAlignment="1" applyProtection="1">
      <alignment horizontal="left" vertical="center" wrapText="1" indent="2"/>
      <protection locked="0"/>
    </xf>
    <xf numFmtId="0" fontId="131" fillId="70" borderId="98" xfId="183" applyFont="1" applyFill="1" applyBorder="1" applyAlignment="1" applyProtection="1">
      <alignment vertical="center" wrapText="1"/>
    </xf>
    <xf numFmtId="197" fontId="131" fillId="70" borderId="121" xfId="183" applyNumberFormat="1" applyFont="1" applyFill="1" applyBorder="1" applyAlignment="1" applyProtection="1">
      <alignment horizontal="right" vertical="center" wrapText="1"/>
    </xf>
    <xf numFmtId="197" fontId="131" fillId="70" borderId="122" xfId="183" applyNumberFormat="1" applyFont="1" applyFill="1" applyBorder="1" applyAlignment="1" applyProtection="1">
      <alignment horizontal="right" vertical="center" wrapText="1"/>
    </xf>
  </cellXfs>
  <cellStyles count="307">
    <cellStyle name=" 1" xfId="59"/>
    <cellStyle name=" 1 2" xfId="60"/>
    <cellStyle name=" 1_29(d) - Gas extensions -tariffs" xfId="61"/>
    <cellStyle name="_Capex" xfId="62"/>
    <cellStyle name="_Capex 2" xfId="63"/>
    <cellStyle name="_Capex_29(d) - Gas extensions -tariffs" xfId="64"/>
    <cellStyle name="_UED AMP 2009-14 Final 250309 Less PU" xfId="65"/>
    <cellStyle name="_UED AMP 2009-14 Final 250309 Less PU_1011 monthly" xfId="66"/>
    <cellStyle name="20% - Accent1 2" xfId="67"/>
    <cellStyle name="20% - Accent2 2" xfId="68"/>
    <cellStyle name="20% - Accent3 2" xfId="69"/>
    <cellStyle name="20% - Accent4 2" xfId="70"/>
    <cellStyle name="20% - Accent5 2" xfId="71"/>
    <cellStyle name="20% - Accent6 2" xfId="72"/>
    <cellStyle name="40% - Accent1 2" xfId="73"/>
    <cellStyle name="40% - Accent2 2" xfId="74"/>
    <cellStyle name="40% - Accent3 2" xfId="75"/>
    <cellStyle name="40% - Accent4 2" xfId="76"/>
    <cellStyle name="40% - Accent5 2" xfId="77"/>
    <cellStyle name="40% - Accent6 2" xfId="78"/>
    <cellStyle name="60% - Accent1 2" xfId="79"/>
    <cellStyle name="60% - Accent2 2" xfId="80"/>
    <cellStyle name="60% - Accent3 2" xfId="81"/>
    <cellStyle name="60% - Accent4 2" xfId="82"/>
    <cellStyle name="60% - Accent5 2" xfId="83"/>
    <cellStyle name="60% - Accent6 2" xfId="84"/>
    <cellStyle name="Accent1" xfId="306" builtinId="29"/>
    <cellStyle name="Accent1 - 20%" xfId="85"/>
    <cellStyle name="Accent1 - 40%" xfId="86"/>
    <cellStyle name="Accent1 - 60%" xfId="87"/>
    <cellStyle name="Accent1 2" xfId="88"/>
    <cellStyle name="Accent2 - 20%" xfId="89"/>
    <cellStyle name="Accent2 - 40%" xfId="90"/>
    <cellStyle name="Accent2 - 60%" xfId="91"/>
    <cellStyle name="Accent2 2" xfId="92"/>
    <cellStyle name="Accent3 - 20%" xfId="93"/>
    <cellStyle name="Accent3 - 40%" xfId="94"/>
    <cellStyle name="Accent3 - 60%" xfId="95"/>
    <cellStyle name="Accent3 2" xfId="96"/>
    <cellStyle name="Accent4 - 20%" xfId="97"/>
    <cellStyle name="Accent4 - 40%" xfId="98"/>
    <cellStyle name="Accent4 - 60%" xfId="99"/>
    <cellStyle name="Accent4 2" xfId="100"/>
    <cellStyle name="Accent5 - 20%" xfId="101"/>
    <cellStyle name="Accent5 - 40%" xfId="102"/>
    <cellStyle name="Accent5 - 60%" xfId="103"/>
    <cellStyle name="Accent5 2" xfId="104"/>
    <cellStyle name="Accent6 - 20%" xfId="105"/>
    <cellStyle name="Accent6 - 40%" xfId="106"/>
    <cellStyle name="Accent6 - 60%" xfId="107"/>
    <cellStyle name="Accent6 2" xfId="108"/>
    <cellStyle name="Agara" xfId="109"/>
    <cellStyle name="Assumptions Right Number" xfId="51"/>
    <cellStyle name="Assumptions Right Percentage" xfId="19"/>
    <cellStyle name="B79812_.wvu.PrintTitlest" xfId="110"/>
    <cellStyle name="Bad 2" xfId="111"/>
    <cellStyle name="Black" xfId="112"/>
    <cellStyle name="Blockout" xfId="113"/>
    <cellStyle name="Blockout 2" xfId="114"/>
    <cellStyle name="Blue" xfId="115"/>
    <cellStyle name="Calcs_Divider" xfId="285"/>
    <cellStyle name="Calculation 2" xfId="116"/>
    <cellStyle name="Check" xfId="286"/>
    <cellStyle name="Check Cell 2" xfId="117"/>
    <cellStyle name="Column_Heading_1" xfId="287"/>
    <cellStyle name="Comma" xfId="1" builtinId="3"/>
    <cellStyle name="Comma [0]7Z_87C" xfId="118"/>
    <cellStyle name="Comma 0" xfId="119"/>
    <cellStyle name="Comma 1" xfId="120"/>
    <cellStyle name="Comma 1 2" xfId="121"/>
    <cellStyle name="Comma 10" xfId="200"/>
    <cellStyle name="Comma 2" xfId="11"/>
    <cellStyle name="Comma 2 2" xfId="35"/>
    <cellStyle name="Comma 2 2 2" xfId="122"/>
    <cellStyle name="Comma 2 3" xfId="44"/>
    <cellStyle name="Comma 2 3 2" xfId="124"/>
    <cellStyle name="Comma 2 3 3" xfId="123"/>
    <cellStyle name="Comma 2 4" xfId="125"/>
    <cellStyle name="Comma 2 5" xfId="126"/>
    <cellStyle name="Comma 2 6" xfId="57"/>
    <cellStyle name="Comma 3" xfId="12"/>
    <cellStyle name="Comma 3 2" xfId="36"/>
    <cellStyle name="Comma 3 2 2" xfId="128"/>
    <cellStyle name="Comma 3 3" xfId="46"/>
    <cellStyle name="Comma 3 3 2" xfId="129"/>
    <cellStyle name="Comma 3 4" xfId="127"/>
    <cellStyle name="Comma 4" xfId="24"/>
    <cellStyle name="Comma 4 2" xfId="38"/>
    <cellStyle name="Comma 4 3" xfId="130"/>
    <cellStyle name="Comma 5" xfId="4"/>
    <cellStyle name="Comma 5 2" xfId="31"/>
    <cellStyle name="Comma 6" xfId="29"/>
    <cellStyle name="Comma 6 2" xfId="131"/>
    <cellStyle name="Comma 7" xfId="41"/>
    <cellStyle name="Comma 7 2" xfId="132"/>
    <cellStyle name="Comma 8" xfId="133"/>
    <cellStyle name="Comma 9" xfId="55"/>
    <cellStyle name="Comma0" xfId="134"/>
    <cellStyle name="Currency" xfId="305" builtinId="4"/>
    <cellStyle name="Currency 11" xfId="135"/>
    <cellStyle name="Currency 11 2" xfId="136"/>
    <cellStyle name="Currency 2" xfId="13"/>
    <cellStyle name="Currency 2 2" xfId="37"/>
    <cellStyle name="Currency 2 2 2" xfId="138"/>
    <cellStyle name="Currency 2 3" xfId="45"/>
    <cellStyle name="Currency 2 4" xfId="137"/>
    <cellStyle name="Currency 3" xfId="27"/>
    <cellStyle name="Currency 3 2" xfId="40"/>
    <cellStyle name="Currency 3 2 2" xfId="140"/>
    <cellStyle name="Currency 3 3" xfId="48"/>
    <cellStyle name="Currency 3 4" xfId="139"/>
    <cellStyle name="Currency 4" xfId="5"/>
    <cellStyle name="Currency 4 2" xfId="32"/>
    <cellStyle name="Currency 4 2 2" xfId="142"/>
    <cellStyle name="Currency 4 3" xfId="141"/>
    <cellStyle name="Currency 5" xfId="43"/>
    <cellStyle name="Currency 5 2" xfId="284"/>
    <cellStyle name="D4_B8B1_005004B79812_.wvu.PrintTitlest" xfId="143"/>
    <cellStyle name="Date" xfId="144"/>
    <cellStyle name="Date 2" xfId="145"/>
    <cellStyle name="Emphasis 1" xfId="146"/>
    <cellStyle name="Emphasis 2" xfId="147"/>
    <cellStyle name="Emphasis 3" xfId="148"/>
    <cellStyle name="Empty_Cell" xfId="288"/>
    <cellStyle name="Euro" xfId="149"/>
    <cellStyle name="Explanatory Text 2" xfId="150"/>
    <cellStyle name="Fixed" xfId="151"/>
    <cellStyle name="Fixed 2" xfId="152"/>
    <cellStyle name="Gilsans" xfId="153"/>
    <cellStyle name="Gilsansl" xfId="154"/>
    <cellStyle name="Good 2" xfId="155"/>
    <cellStyle name="Header1" xfId="289"/>
    <cellStyle name="Header2" xfId="290"/>
    <cellStyle name="Header3" xfId="291"/>
    <cellStyle name="Header4" xfId="292"/>
    <cellStyle name="Header5" xfId="293"/>
    <cellStyle name="Heading 1 2" xfId="156"/>
    <cellStyle name="Heading 1 2 2" xfId="157"/>
    <cellStyle name="Heading 1 3" xfId="158"/>
    <cellStyle name="Heading 2 2" xfId="159"/>
    <cellStyle name="Heading 2 2 2" xfId="160"/>
    <cellStyle name="Heading 2 3" xfId="161"/>
    <cellStyle name="Heading 3 2" xfId="162"/>
    <cellStyle name="Heading 3 2 2" xfId="163"/>
    <cellStyle name="Heading 3 3" xfId="164"/>
    <cellStyle name="Heading 4 2" xfId="165"/>
    <cellStyle name="Heading 4 2 2" xfId="166"/>
    <cellStyle name="Heading 4 3" xfId="167"/>
    <cellStyle name="Heading(4)" xfId="168"/>
    <cellStyle name="Hyperlink" xfId="50" builtinId="8"/>
    <cellStyle name="Hyperlink 2" xfId="169"/>
    <cellStyle name="Hyperlink Arrow" xfId="170"/>
    <cellStyle name="Hyperlink Text" xfId="171"/>
    <cellStyle name="Input 2" xfId="172"/>
    <cellStyle name="Input|Date" xfId="53"/>
    <cellStyle name="Input1" xfId="6"/>
    <cellStyle name="Input1 2" xfId="33"/>
    <cellStyle name="Input1 2 2" xfId="174"/>
    <cellStyle name="Input1 3" xfId="173"/>
    <cellStyle name="Input2" xfId="175"/>
    <cellStyle name="Input2 2" xfId="176"/>
    <cellStyle name="Input3" xfId="7"/>
    <cellStyle name="Input3 2" xfId="34"/>
    <cellStyle name="Inputs_Divider" xfId="294"/>
    <cellStyle name="InSheet" xfId="295"/>
    <cellStyle name="Line_ClosingBal" xfId="42"/>
    <cellStyle name="Lines" xfId="177"/>
    <cellStyle name="Linked Cell 2" xfId="178"/>
    <cellStyle name="Mine" xfId="179"/>
    <cellStyle name="Model Name" xfId="180"/>
    <cellStyle name="Neutral 2" xfId="181"/>
    <cellStyle name="Normal" xfId="0" builtinId="0"/>
    <cellStyle name="Normal - Style1" xfId="182"/>
    <cellStyle name="Normal 10" xfId="282"/>
    <cellStyle name="Normal 11" xfId="219"/>
    <cellStyle name="Normal 13" xfId="183"/>
    <cellStyle name="Normal 13 2" xfId="56"/>
    <cellStyle name="Normal 13 2 2" xfId="28"/>
    <cellStyle name="Normal 13_29(d) - Gas extensions -tariffs" xfId="184"/>
    <cellStyle name="Normal 15" xfId="185"/>
    <cellStyle name="Normal 16" xfId="186"/>
    <cellStyle name="Normal 2" xfId="10"/>
    <cellStyle name="Normal 2 2" xfId="47"/>
    <cellStyle name="Normal 2 2 2" xfId="188"/>
    <cellStyle name="Normal 2 2 3" xfId="187"/>
    <cellStyle name="Normal 2 3" xfId="189"/>
    <cellStyle name="Normal 2 3 2" xfId="190"/>
    <cellStyle name="Normal 2 3_29(d) - Gas extensions -tariffs" xfId="191"/>
    <cellStyle name="Normal 2 4" xfId="192"/>
    <cellStyle name="Normal 2 5" xfId="193"/>
    <cellStyle name="Normal 2_29(d) - Gas extensions -tariffs" xfId="194"/>
    <cellStyle name="Normal 3" xfId="14"/>
    <cellStyle name="Normal 3 2" xfId="195"/>
    <cellStyle name="Normal 3_29(d) - Gas extensions -tariffs" xfId="196"/>
    <cellStyle name="Normal 38" xfId="197"/>
    <cellStyle name="Normal 38 2" xfId="198"/>
    <cellStyle name="Normal 38_29(d) - Gas extensions -tariffs" xfId="199"/>
    <cellStyle name="Normal 4" xfId="15"/>
    <cellStyle name="Normal 4 2" xfId="201"/>
    <cellStyle name="Normal 4 3" xfId="202"/>
    <cellStyle name="Normal 4_29(d) - Gas extensions -tariffs" xfId="203"/>
    <cellStyle name="Normal 40" xfId="204"/>
    <cellStyle name="Normal 40 2" xfId="205"/>
    <cellStyle name="Normal 40_29(d) - Gas extensions -tariffs" xfId="206"/>
    <cellStyle name="Normal 5" xfId="16"/>
    <cellStyle name="Normal 5 2" xfId="208"/>
    <cellStyle name="Normal 5 3" xfId="207"/>
    <cellStyle name="Normal 6" xfId="9"/>
    <cellStyle name="Normal 6 2" xfId="210"/>
    <cellStyle name="Normal 6 3" xfId="209"/>
    <cellStyle name="Normal 7" xfId="23"/>
    <cellStyle name="Normal 7 2" xfId="211"/>
    <cellStyle name="Normal 7 3" xfId="58"/>
    <cellStyle name="Normal 8" xfId="3"/>
    <cellStyle name="Normal 9" xfId="49"/>
    <cellStyle name="Normal 9 2" xfId="212"/>
    <cellStyle name="Note 2" xfId="213"/>
    <cellStyle name="OffSheet" xfId="296"/>
    <cellStyle name="Output 2" xfId="214"/>
    <cellStyle name="Percent" xfId="2" builtinId="5"/>
    <cellStyle name="Percent [2]" xfId="215"/>
    <cellStyle name="Percent [2] 2" xfId="216"/>
    <cellStyle name="Percent [2]_29(d) - Gas extensions -tariffs" xfId="217"/>
    <cellStyle name="Percent 14" xfId="22"/>
    <cellStyle name="Percent 2" xfId="17"/>
    <cellStyle name="Percent 2 2" xfId="18"/>
    <cellStyle name="Percent 2 3" xfId="26"/>
    <cellStyle name="Percent 2 4" xfId="54"/>
    <cellStyle name="Percent 3" xfId="25"/>
    <cellStyle name="Percent 3 2" xfId="30"/>
    <cellStyle name="Percent 3 3" xfId="39"/>
    <cellStyle name="Percent 4" xfId="8"/>
    <cellStyle name="Percent 5" xfId="52"/>
    <cellStyle name="Percent 5 2" xfId="283"/>
    <cellStyle name="Percent 6" xfId="218"/>
    <cellStyle name="Percent 7" xfId="220"/>
    <cellStyle name="Percentage" xfId="221"/>
    <cellStyle name="Period" xfId="20"/>
    <cellStyle name="Period Title" xfId="222"/>
    <cellStyle name="PSChar" xfId="223"/>
    <cellStyle name="PSDate" xfId="224"/>
    <cellStyle name="PSDec" xfId="225"/>
    <cellStyle name="PSDetail" xfId="226"/>
    <cellStyle name="PSHeading" xfId="227"/>
    <cellStyle name="PSInt" xfId="228"/>
    <cellStyle name="PSSpacer" xfId="229"/>
    <cellStyle name="Ratio" xfId="230"/>
    <cellStyle name="Ratio 2" xfId="231"/>
    <cellStyle name="Ratio_29(d) - Gas extensions -tariffs" xfId="232"/>
    <cellStyle name="Right Date" xfId="233"/>
    <cellStyle name="Right Number" xfId="234"/>
    <cellStyle name="Right Year" xfId="235"/>
    <cellStyle name="SAPError" xfId="236"/>
    <cellStyle name="SAPError 2" xfId="237"/>
    <cellStyle name="SAPKey" xfId="238"/>
    <cellStyle name="SAPKey 2" xfId="239"/>
    <cellStyle name="SAPLocked" xfId="240"/>
    <cellStyle name="SAPLocked 2" xfId="241"/>
    <cellStyle name="SAPOutput" xfId="242"/>
    <cellStyle name="SAPOutput 2" xfId="243"/>
    <cellStyle name="SAPSpace" xfId="244"/>
    <cellStyle name="SAPSpace 2" xfId="245"/>
    <cellStyle name="SAPText" xfId="246"/>
    <cellStyle name="SAPText 2" xfId="247"/>
    <cellStyle name="SAPUnLocked" xfId="248"/>
    <cellStyle name="SAPUnLocked 2" xfId="249"/>
    <cellStyle name="Sheet Title" xfId="250"/>
    <cellStyle name="SheetHeader1" xfId="297"/>
    <cellStyle name="SheetHeader2" xfId="298"/>
    <cellStyle name="SheetHeader3" xfId="299"/>
    <cellStyle name="Style 1" xfId="251"/>
    <cellStyle name="Style 1 2" xfId="252"/>
    <cellStyle name="Style 1_29(d) - Gas extensions -tariffs" xfId="253"/>
    <cellStyle name="style1" xfId="21"/>
    <cellStyle name="Style2" xfId="254"/>
    <cellStyle name="Style3" xfId="255"/>
    <cellStyle name="Style4" xfId="256"/>
    <cellStyle name="Style4 2" xfId="257"/>
    <cellStyle name="Style4_29(d) - Gas extensions -tariffs" xfId="258"/>
    <cellStyle name="Style5" xfId="259"/>
    <cellStyle name="Style5 2" xfId="260"/>
    <cellStyle name="Style5_29(d) - Gas extensions -tariffs" xfId="261"/>
    <cellStyle name="Table Head Green" xfId="262"/>
    <cellStyle name="Table Head_pldt" xfId="263"/>
    <cellStyle name="Table Source" xfId="264"/>
    <cellStyle name="Table Units" xfId="265"/>
    <cellStyle name="Table_Heading" xfId="300"/>
    <cellStyle name="Technical_Input" xfId="301"/>
    <cellStyle name="Text" xfId="266"/>
    <cellStyle name="Text 2" xfId="267"/>
    <cellStyle name="Text 3" xfId="268"/>
    <cellStyle name="Text Head 1" xfId="269"/>
    <cellStyle name="Text Head 2" xfId="270"/>
    <cellStyle name="Text Indent 2" xfId="271"/>
    <cellStyle name="Theirs" xfId="272"/>
    <cellStyle name="Title 2" xfId="273"/>
    <cellStyle name="TOC 1" xfId="274"/>
    <cellStyle name="TOC 2" xfId="275"/>
    <cellStyle name="TOC 3" xfId="276"/>
    <cellStyle name="Total 2" xfId="277"/>
    <cellStyle name="Totals" xfId="302"/>
    <cellStyle name="unit" xfId="303"/>
    <cellStyle name="User_Input" xfId="304"/>
    <cellStyle name="Warning Text 2" xfId="278"/>
    <cellStyle name="year" xfId="279"/>
    <cellStyle name="year 2" xfId="280"/>
    <cellStyle name="year_29(d) - Gas extensions -tariffs" xfId="28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-%20Finance\Business%20Planning%20and%20Budgeting\2011-12%20-%202015-16\Budget%20Model\PIES%20Budget%20Model%20MASTER%20v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02.%20UED\02.23.%202016%20EDPR\02.23.08%20Expenditure%20&amp;%20Regulatory%20Models\02.23.08.02%20PTRM\02.23.08.02.01%20EDPR%202016%20Analysis\1.%20Version%2002%20May%202014\UE%20FY15-1MA%20v03\UE%20FY15-1MA%20v0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03.%20Multinet/22.22.03%202018%20GAAR/Models/PTRM%20&amp;%20RFM/PTRM%20Scenarios/PRTM&amp;RFM%20using%20Capex%20v0.87%20&amp;%20Opex%20v05%20-%20With%20Marketing%20Switches%20-%20Moved%20Services/PTRM%20-%20Scenarios%20-%20DRAFT%20-%208%20July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G%20Opex%202013-17%20ECM%20-%20Oct%2019%20v0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03.%20Multinet/22.22.03%202018%20GAAR/RIN/0.007%20AER%20FINAL%20RINS/AER%20-%20Final%20RIN%20%20MG%20GAAR%202018-22%20%20Regtemplates%20-%2020161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03.%20Multinet/03.20.%20RIN%202013%20-%202017/RIN%202013/1.%20Lodge%20with%20the%20AER/1.%20Lodged%20to%20AER/Documents/Appendix%20A%20-%20Multinet%20Financial%20RIN%20-%20Final%20Submission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03.%20Multinet/03.20.%20RIN%202013%20-%202017/RIN%202014/1.%20RIN%20to%20submit/Appendices/Appendix%20A%20-Multinet%20Financial%20RIN%202014%20Submiss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03.%20Multinet/03.20.%20RIN%202013%20-%202017/RIN%202015/1.%20Lodged%20to%20the%20AER/1.%20Final%20to%20Submit/Appendix%20A%20-Multinet%20Financial%20RIN%202015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03.%20Multinet/22.22.03%202018%20GAAR/Models/PTRM%20&amp;%20RFM/PTRM%20Scenarios/Models%20for%20Submission/Opex%20Model%20v0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GenAssum_BA"/>
      <sheetName val="AllocAssum_BA"/>
      <sheetName val="Escalation_TA"/>
      <sheetName val="CostCentre_BA"/>
      <sheetName val="FTEAssum_TA"/>
      <sheetName val="FTEAssumSalOnly_TA"/>
      <sheetName val="REG Comparison"/>
      <sheetName val="CEO Comparison"/>
      <sheetName val="COM Comparison"/>
      <sheetName val="HR Comparison"/>
      <sheetName val="IT Comparison"/>
      <sheetName val="SD Comparison"/>
      <sheetName val="AM Comparison"/>
      <sheetName val="CMM Comparison"/>
      <sheetName val="Finance-Admin Comparison"/>
      <sheetName val="CompareFY11view_TA"/>
      <sheetName val="Summary Comparison"/>
      <sheetName val="ResourceCompareFY12"/>
      <sheetName val="OpexSharedAssum_TA"/>
      <sheetName val="OpexUEDAssum_TA"/>
      <sheetName val="OpexMGHAssum_TA"/>
      <sheetName val="CapexUED_TA"/>
      <sheetName val="CapexMGH"/>
      <sheetName val="Rev&amp;Dep UED"/>
      <sheetName val="Rev&amp;Dep MGH"/>
      <sheetName val="Op Bal Sheet UED"/>
      <sheetName val="Op Bal Sheet MGH"/>
      <sheetName val="Debt UED"/>
      <sheetName val="Debt MGH"/>
      <sheetName val="Outputs_SC"/>
      <sheetName val="FTE_Summary_TO"/>
      <sheetName val="UED P&amp;L-Cal Yr"/>
      <sheetName val="UED P&amp;L-Fin Yr"/>
      <sheetName val="UED P&amp;L-Qtr"/>
      <sheetName val="UED P&amp;L-Month"/>
      <sheetName val="UED Capex-Cal Yr"/>
      <sheetName val="UED Capex-Fin Yr"/>
      <sheetName val="UED Capex-Qtr"/>
      <sheetName val="UED Capex-Month"/>
      <sheetName val="UED Cash Flow-Month"/>
      <sheetName val="UED Balance Sheet-Month"/>
      <sheetName val="MGH P&amp;L-Cal Yr"/>
      <sheetName val="MGH P&amp;L-Fin Yr"/>
      <sheetName val="MGH P&amp;L-Qtr"/>
      <sheetName val="MGH P&amp;L-Month"/>
      <sheetName val="MGH Capex-Cal Yr"/>
      <sheetName val="MGH Capex-Fin Yr"/>
      <sheetName val="MGH Capex-Qtr"/>
      <sheetName val="MGH Capex-Month"/>
      <sheetName val="MGH Cash Flow-Month"/>
      <sheetName val="MGH Balance Sheet-Month"/>
      <sheetName val="UED Debt"/>
      <sheetName val="UED Sum by Function"/>
      <sheetName val="UED Sum by Account"/>
      <sheetName val="MGH Debt"/>
      <sheetName val="MGH Sum by Function"/>
      <sheetName val="MGH Sum by Account"/>
      <sheetName val="AD Report"/>
      <sheetName val="CEM Report"/>
      <sheetName val="CEO Report"/>
      <sheetName val="CMM Report"/>
      <sheetName val="COM Report"/>
      <sheetName val="FIN Report"/>
      <sheetName val="HR Report"/>
      <sheetName val="IT Report"/>
      <sheetName val="NIT Report"/>
      <sheetName val="OHS Report"/>
      <sheetName val="REG Report"/>
      <sheetName val="RISK Report"/>
      <sheetName val="SDN Report"/>
      <sheetName val="SDS Report"/>
      <sheetName val="UED-AAA Report"/>
      <sheetName val="UED-BBB Report"/>
      <sheetName val="UED-CCC Report"/>
      <sheetName val="UED-DDD Report"/>
      <sheetName val="MGH-AAA Report"/>
      <sheetName val="MGH-BBB Report"/>
      <sheetName val="MGH-CCC Report"/>
      <sheetName val="MGH-DDD Report"/>
      <sheetName val="Appendices_SC"/>
      <sheetName val="Lookup_Tables_SSC"/>
      <sheetName val="TS_LU"/>
      <sheetName val="Checks_SSC"/>
      <sheetName val="Checks_BO"/>
      <sheetName val="1. Control"/>
      <sheetName val="BB rec with EDPR"/>
      <sheetName val="Instructions (To B Updated)"/>
      <sheetName val="Valuation"/>
      <sheetName val="FD Summary"/>
      <sheetName val="Annual Summary"/>
      <sheetName val="KEY METRICS"/>
      <sheetName val="LTerm Charts"/>
      <sheetName val="2. Menu"/>
      <sheetName val="4. Checks"/>
      <sheetName val="5. Assum"/>
      <sheetName val="5.05 SCENARIOS"/>
      <sheetName val="5.1 Meter Assum"/>
      <sheetName val="6. Reg Ass"/>
      <sheetName val="6.2 Rates"/>
      <sheetName val="7. Impairment"/>
      <sheetName val="8. Hist P&amp;L"/>
      <sheetName val="9. Hist BS"/>
      <sheetName val="10. Hist Capex"/>
      <sheetName val="13. Distr Cash"/>
      <sheetName val="14. Meters"/>
      <sheetName val="14.2 Meter Reg Rev"/>
      <sheetName val="14.1 Meter RAB"/>
      <sheetName val="15. Debt"/>
      <sheetName val="16. Reg Rev"/>
      <sheetName val="17. Reg Dep&amp;Tax"/>
      <sheetName val="18. Tax"/>
      <sheetName val="19. Depn"/>
      <sheetName val="20. Def Debt Costs"/>
      <sheetName val="21. Reg Depr"/>
      <sheetName val="22. Reg Tax Dep"/>
      <sheetName val="23. Exc Servs"/>
      <sheetName val="24. Ann CAPEX"/>
      <sheetName val="25. Qtr CAPEX"/>
      <sheetName val="26. CAPEX Real"/>
      <sheetName val="27. Capex Inp Nom"/>
      <sheetName val="27.1 Capex Scenarios"/>
      <sheetName val="Sensitivity"/>
      <sheetName val="CY Capex"/>
      <sheetName val="FY Capex"/>
      <sheetName val="29. CAL PL"/>
      <sheetName val="30. FY PL"/>
      <sheetName val="31. HY PL"/>
      <sheetName val="32. Qtr PL"/>
      <sheetName val="34. FY BS"/>
      <sheetName val="35. HY BS"/>
      <sheetName val="36. Qtr BS"/>
      <sheetName val="37. Ratios Yr"/>
      <sheetName val="38. Ratios Qtr"/>
      <sheetName val="38. Board"/>
      <sheetName val="DUOs CAPEX"/>
      <sheetName val="AMI Capex"/>
      <sheetName val="Total Capex"/>
      <sheetName val="DUOs RAB"/>
      <sheetName val="AMI RAB"/>
      <sheetName val="Total RAB"/>
      <sheetName val="DUOs Reg Depreciation"/>
      <sheetName val="AMI Reg Depreciation"/>
      <sheetName val="Total Reg Depreciation"/>
      <sheetName val="RAB"/>
      <sheetName val="DEBT"/>
      <sheetName val="Heads Of Agreement Scenario"/>
      <sheetName val="DUET Interface"/>
    </sheetNames>
    <sheetDataSet>
      <sheetData sheetId="0">
        <row r="1">
          <cell r="B1" t="str">
            <v>Cost Centre Report by Month NIT ($'000,Nominal)</v>
          </cell>
        </row>
      </sheetData>
      <sheetData sheetId="1"/>
      <sheetData sheetId="2" refreshError="1"/>
      <sheetData sheetId="3">
        <row r="1">
          <cell r="B1" t="str">
            <v>Cost Centre Report by Month SDS ($'000,Nominal)</v>
          </cell>
        </row>
      </sheetData>
      <sheetData sheetId="4">
        <row r="1">
          <cell r="B1" t="str">
            <v>Allocation Assumptions</v>
          </cell>
        </row>
        <row r="37">
          <cell r="F37">
            <v>0</v>
          </cell>
        </row>
        <row r="65">
          <cell r="F65">
            <v>0</v>
          </cell>
        </row>
        <row r="93">
          <cell r="F93">
            <v>0</v>
          </cell>
        </row>
        <row r="122">
          <cell r="F122">
            <v>0</v>
          </cell>
        </row>
      </sheetData>
      <sheetData sheetId="5" refreshError="1"/>
      <sheetData sheetId="6">
        <row r="1">
          <cell r="B1" t="str">
            <v>Cost Centre Report by Month SDN ($'000,Nominal)</v>
          </cell>
        </row>
      </sheetData>
      <sheetData sheetId="7">
        <row r="1">
          <cell r="B1" t="str">
            <v>Personnel Expenses Assumptions ($,Nominal)</v>
          </cell>
        </row>
        <row r="224">
          <cell r="G224">
            <v>0</v>
          </cell>
          <cell r="K224">
            <v>0</v>
          </cell>
        </row>
        <row r="434">
          <cell r="G434">
            <v>0</v>
          </cell>
        </row>
        <row r="644">
          <cell r="G644">
            <v>0</v>
          </cell>
        </row>
        <row r="854">
          <cell r="G854">
            <v>0</v>
          </cell>
        </row>
        <row r="1064">
          <cell r="G1064">
            <v>0</v>
          </cell>
        </row>
        <row r="1274">
          <cell r="G127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1000Consulting</v>
          </cell>
        </row>
      </sheetData>
      <sheetData sheetId="22">
        <row r="19">
          <cell r="A19" t="str">
            <v>1000Test5</v>
          </cell>
        </row>
      </sheetData>
      <sheetData sheetId="23">
        <row r="19">
          <cell r="A19" t="str">
            <v>1000Test5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Resources Costs Summary by Financial Year ($'000,Nominal)</v>
          </cell>
        </row>
        <row r="123">
          <cell r="I123">
            <v>0</v>
          </cell>
        </row>
      </sheetData>
      <sheetData sheetId="34"/>
      <sheetData sheetId="35"/>
      <sheetData sheetId="36"/>
      <sheetData sheetId="37"/>
      <sheetData sheetId="38">
        <row r="1">
          <cell r="B1" t="str">
            <v>UED - Capex by Calendar Year ($'000,Nominal)</v>
          </cell>
        </row>
        <row r="87">
          <cell r="F87">
            <v>0</v>
          </cell>
        </row>
      </sheetData>
      <sheetData sheetId="39">
        <row r="1">
          <cell r="B1" t="str">
            <v>UED - Capex by Financial Year ($'000,Nominal)</v>
          </cell>
        </row>
        <row r="87">
          <cell r="F87">
            <v>0</v>
          </cell>
        </row>
      </sheetData>
      <sheetData sheetId="40">
        <row r="1">
          <cell r="B1" t="str">
            <v>UED - Capex by Quarter ($'000,Nominal)</v>
          </cell>
        </row>
        <row r="87">
          <cell r="F87">
            <v>0</v>
          </cell>
        </row>
      </sheetData>
      <sheetData sheetId="41">
        <row r="1">
          <cell r="B1" t="str">
            <v>UED - Capex by Month ($'000,Nominal)</v>
          </cell>
        </row>
        <row r="96">
          <cell r="F96">
            <v>0</v>
          </cell>
        </row>
      </sheetData>
      <sheetData sheetId="42"/>
      <sheetData sheetId="43">
        <row r="1">
          <cell r="B1" t="str">
            <v>UED - Balance Sheet by Month ($'000,Nominal)</v>
          </cell>
        </row>
        <row r="90">
          <cell r="F90">
            <v>0</v>
          </cell>
        </row>
      </sheetData>
      <sheetData sheetId="44"/>
      <sheetData sheetId="45"/>
      <sheetData sheetId="46"/>
      <sheetData sheetId="47"/>
      <sheetData sheetId="48">
        <row r="1">
          <cell r="B1" t="str">
            <v>MGH - Capex by Calendar Year ($'000,Nominal)</v>
          </cell>
        </row>
        <row r="69">
          <cell r="F69">
            <v>0</v>
          </cell>
        </row>
      </sheetData>
      <sheetData sheetId="49">
        <row r="1">
          <cell r="B1" t="str">
            <v>MGH - Capex by Financial Year ($'000,Nominal)</v>
          </cell>
        </row>
        <row r="69">
          <cell r="F69">
            <v>0</v>
          </cell>
        </row>
      </sheetData>
      <sheetData sheetId="50">
        <row r="1">
          <cell r="B1" t="str">
            <v>MGH - Capex by Quarter ($'000,Nominal)</v>
          </cell>
        </row>
        <row r="69">
          <cell r="F69">
            <v>0</v>
          </cell>
        </row>
      </sheetData>
      <sheetData sheetId="51">
        <row r="1">
          <cell r="B1" t="str">
            <v>MGH - Capex by Month ($'000,Nominal)</v>
          </cell>
        </row>
        <row r="78">
          <cell r="F78">
            <v>0</v>
          </cell>
        </row>
      </sheetData>
      <sheetData sheetId="52"/>
      <sheetData sheetId="53">
        <row r="1">
          <cell r="B1" t="str">
            <v>MGH - Balance Sheet by Month ($'000,Nominal)</v>
          </cell>
        </row>
        <row r="70">
          <cell r="F70">
            <v>0</v>
          </cell>
        </row>
      </sheetData>
      <sheetData sheetId="54">
        <row r="1">
          <cell r="B1" t="str">
            <v>Allocation Assumptions</v>
          </cell>
        </row>
      </sheetData>
      <sheetData sheetId="55">
        <row r="1">
          <cell r="B1" t="str">
            <v>UED - Dept Summary by Month ($'000,Nominal) NOT IN USE</v>
          </cell>
        </row>
        <row r="170">
          <cell r="F170">
            <v>0</v>
          </cell>
        </row>
        <row r="171">
          <cell r="F171">
            <v>1</v>
          </cell>
        </row>
      </sheetData>
      <sheetData sheetId="56">
        <row r="1">
          <cell r="B1" t="str">
            <v>UED - Account Summary by Month ($'000,Nominal)</v>
          </cell>
        </row>
        <row r="155">
          <cell r="F155">
            <v>0</v>
          </cell>
        </row>
      </sheetData>
      <sheetData sheetId="57"/>
      <sheetData sheetId="58">
        <row r="1">
          <cell r="B1" t="str">
            <v>MGH - Dept Summary by Month ($'000,Nominal) NOT IN USE</v>
          </cell>
        </row>
        <row r="166">
          <cell r="F166">
            <v>0</v>
          </cell>
        </row>
        <row r="167">
          <cell r="F167">
            <v>1</v>
          </cell>
        </row>
      </sheetData>
      <sheetData sheetId="59">
        <row r="1">
          <cell r="B1" t="str">
            <v>MGH - Account Summary by Month</v>
          </cell>
        </row>
        <row r="154">
          <cell r="F154">
            <v>0</v>
          </cell>
        </row>
      </sheetData>
      <sheetData sheetId="60">
        <row r="1">
          <cell r="B1" t="str">
            <v>Cost Centre 1000 - Report by Month ($'000,Nominal)</v>
          </cell>
        </row>
        <row r="420">
          <cell r="P420">
            <v>0</v>
          </cell>
        </row>
      </sheetData>
      <sheetData sheetId="61">
        <row r="1">
          <cell r="B1" t="str">
            <v>Cost Centre Report by Month CEM ($'000,Nominal)</v>
          </cell>
        </row>
      </sheetData>
      <sheetData sheetId="62">
        <row r="1">
          <cell r="B1" t="str">
            <v>Cost Centre Report by Month CEO ($'000,Nominal)</v>
          </cell>
        </row>
      </sheetData>
      <sheetData sheetId="63">
        <row r="1">
          <cell r="B1" t="str">
            <v>Cost Centre Report by Month CMM ($'000,Nominal)</v>
          </cell>
        </row>
      </sheetData>
      <sheetData sheetId="64">
        <row r="1">
          <cell r="B1" t="str">
            <v>Cost Centre Report by Month COM ($'000,Nominal)</v>
          </cell>
        </row>
      </sheetData>
      <sheetData sheetId="65">
        <row r="1">
          <cell r="B1" t="str">
            <v>Cost Centre Report by Month FIN ($'000,Nominal)</v>
          </cell>
        </row>
      </sheetData>
      <sheetData sheetId="66">
        <row r="1">
          <cell r="B1" t="str">
            <v>Cost Centre Report by Month HR ($'000,Nominal)</v>
          </cell>
        </row>
      </sheetData>
      <sheetData sheetId="67">
        <row r="1">
          <cell r="B1" t="str">
            <v>Cost Centre Report by Month IT ($'000,Nominal)</v>
          </cell>
        </row>
      </sheetData>
      <sheetData sheetId="68" refreshError="1">
        <row r="1">
          <cell r="B1" t="str">
            <v>Cost Centre Report by Month NIT ($'000,Nominal)</v>
          </cell>
        </row>
      </sheetData>
      <sheetData sheetId="69" refreshError="1">
        <row r="1">
          <cell r="B1" t="str">
            <v>Cost Centre Report by Month OHS ($'000,Nominal)</v>
          </cell>
        </row>
      </sheetData>
      <sheetData sheetId="70" refreshError="1">
        <row r="1">
          <cell r="B1" t="str">
            <v>Cost Centre Report by Month REG ($'000,Nominal)</v>
          </cell>
        </row>
      </sheetData>
      <sheetData sheetId="71" refreshError="1">
        <row r="1">
          <cell r="B1" t="str">
            <v>Cost Centre Report by Month RISK ($'000,Nominal)</v>
          </cell>
        </row>
      </sheetData>
      <sheetData sheetId="72" refreshError="1">
        <row r="1">
          <cell r="B1" t="str">
            <v>Cost Centre Report by Month SDN ($'000,Nominal)</v>
          </cell>
        </row>
      </sheetData>
      <sheetData sheetId="73" refreshError="1">
        <row r="1">
          <cell r="B1" t="str">
            <v>Cost Centre Report by Month SDS ($'000,Nominal)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1">
          <cell r="B1" t="str">
            <v>MGH - Dept Summary by Month ($'000,Nominal) NOT IN USE</v>
          </cell>
        </row>
        <row r="7">
          <cell r="B7" t="str">
            <v>Error Checks</v>
          </cell>
        </row>
        <row r="66">
          <cell r="B66" t="str">
            <v>Sensitivity Checks</v>
          </cell>
        </row>
        <row r="82">
          <cell r="B82" t="str">
            <v>Alert Checks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Log"/>
      <sheetName val="Changes"/>
      <sheetName val="Qtrly Analyst Tool"/>
      <sheetName val="Annual Mgmt Tool"/>
      <sheetName val="DUET (Current)"/>
      <sheetName val="DUET (Prev)"/>
      <sheetName val="Metrics"/>
      <sheetName val="Board"/>
      <sheetName val="Board (2)"/>
      <sheetName val="AFS"/>
      <sheetName val="MFYFS"/>
      <sheetName val="FYFS"/>
      <sheetName val="TR"/>
      <sheetName val="IFS"/>
      <sheetName val="Inputs_Gen"/>
      <sheetName val="Inputs_Reg"/>
      <sheetName val="Inputs_AMI"/>
      <sheetName val="Scenarios"/>
      <sheetName val="CapEx_Scenarios"/>
      <sheetName val="Actuals"/>
      <sheetName val="Actuals_Mgt"/>
      <sheetName val="Impair_Test"/>
      <sheetName val="Non-Reg"/>
      <sheetName val="Funding"/>
      <sheetName val="Dep_Acc"/>
      <sheetName val="Dep_Tax"/>
      <sheetName val="AMI"/>
      <sheetName val="Reg"/>
      <sheetName val="Dep_Reg"/>
      <sheetName val="Dep_AMI"/>
      <sheetName val="Dep_ACS"/>
      <sheetName val="Dep(Tax)_Reg"/>
      <sheetName val="Timing"/>
      <sheetName val="ROD"/>
      <sheetName val="Kd&amp;he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88">
          <cell r="H888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PTRM - Scenarios - DRAFT - 8 Ju"/>
    </sheetNames>
    <definedNames>
      <definedName name="Marketing_scenario" refersTo="='DMS input'!$C$90"/>
    </definedNames>
    <sheetDataSet>
      <sheetData sheetId="0"/>
      <sheetData sheetId="1"/>
      <sheetData sheetId="2">
        <row r="88">
          <cell r="F88" t="str">
            <v>Base</v>
          </cell>
          <cell r="G88" t="str">
            <v>Small</v>
          </cell>
          <cell r="H88" t="str">
            <v>Preferred</v>
          </cell>
        </row>
        <row r="90">
          <cell r="C90" t="str">
            <v>Small</v>
          </cell>
          <cell r="F90">
            <v>0</v>
          </cell>
          <cell r="G90">
            <v>23.251849348438647</v>
          </cell>
          <cell r="H90">
            <v>26.307196999999999</v>
          </cell>
        </row>
        <row r="102">
          <cell r="C102" t="str">
            <v>MG</v>
          </cell>
        </row>
        <row r="104">
          <cell r="C104" t="str">
            <v>MG</v>
          </cell>
        </row>
      </sheetData>
      <sheetData sheetId="3">
        <row r="186">
          <cell r="G186">
            <v>0.64351152635054454</v>
          </cell>
          <cell r="H186">
            <v>0.66900022261264092</v>
          </cell>
          <cell r="I186">
            <v>0.6838896391510072</v>
          </cell>
          <cell r="J186">
            <v>0.701184827316777</v>
          </cell>
          <cell r="K186">
            <v>0.71705279346241801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- 6 months to 30 Jun 16"/>
      <sheetName val="Report - 6 months to 31 Dec 16"/>
      <sheetName val="Report - 12 months to 31 Dec 16"/>
      <sheetName val="Report - Pres. Table 31 Dec 16"/>
      <sheetName val="ECM summary"/>
      <sheetName val="INPUT - by HY"/>
      <sheetName val="Input - CPI"/>
      <sheetName val="Input - RIN"/>
      <sheetName val="Input - Allowance"/>
      <sheetName val="Input - MG Board ECM 6m Act-Bud"/>
      <sheetName val="Input - MG Board ECM 6m Forecas"/>
      <sheetName val="Info - MG Stats 2013"/>
      <sheetName val="Info - MG Stats 2014"/>
      <sheetName val="Info - MG Stats 2015"/>
      <sheetName val="Info - P&amp;L Forecast"/>
      <sheetName val="Info - Assumptions"/>
      <sheetName val="Info - Summary HY CY FY"/>
      <sheetName val="Info - ECM comparison"/>
    </sheetNames>
    <sheetDataSet>
      <sheetData sheetId="0"/>
      <sheetData sheetId="1"/>
      <sheetData sheetId="2"/>
      <sheetData sheetId="3"/>
      <sheetData sheetId="4"/>
      <sheetData sheetId="5">
        <row r="23">
          <cell r="X23">
            <v>73551.327621472388</v>
          </cell>
        </row>
        <row r="25">
          <cell r="X25">
            <v>-8153.3339999999998</v>
          </cell>
        </row>
        <row r="26">
          <cell r="X26">
            <v>286.64400000000001</v>
          </cell>
        </row>
        <row r="27">
          <cell r="X27">
            <v>-84.733332031249986</v>
          </cell>
        </row>
        <row r="28">
          <cell r="X28">
            <v>-1384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1. CPI"/>
      <sheetName val="2. Escalators"/>
      <sheetName val="3 - Capex summary"/>
      <sheetName val="4. Connections market expansn"/>
      <sheetName val="5. Mains augmentation"/>
      <sheetName val="6. Mains replacement"/>
      <sheetName val="7. Telemetry"/>
      <sheetName val="8. Meter replacement"/>
      <sheetName val="9. Other capex"/>
      <sheetName val="12. IT"/>
      <sheetName val="14. Overheads"/>
      <sheetName val="15. Related party transactions"/>
      <sheetName val="16. Capex allocation"/>
      <sheetName val="17. Gross Capex "/>
      <sheetName val="20. Changes in provisions"/>
      <sheetName val="21 - Indicative bill impacts"/>
      <sheetName val="22. WACC Inputs"/>
      <sheetName val="23.1 Opex incl. RPM"/>
      <sheetName val="23.2 Opex excl. RPM"/>
      <sheetName val="23.3 Opex base-step-trend"/>
      <sheetName val="23.4 Opex Incentive Mechanism"/>
      <sheetName val="24. Cost category matrix"/>
      <sheetName val="25. ARS"/>
      <sheetName val="26. Allocation of total revenue"/>
      <sheetName val="27. Customer numbers"/>
      <sheetName val="28. Consumption and demand"/>
      <sheetName val="29.1 Gas extenstions ($)"/>
      <sheetName val="29.2 Gas extenstions cust no"/>
      <sheetName val="29.3 Gas extensions - demand"/>
      <sheetName val="29.4 Gas extensions - tariffs"/>
      <sheetName val="30. Network characteristics"/>
      <sheetName val="31 - Pass throughs"/>
    </sheetNames>
    <sheetDataSet>
      <sheetData sheetId="0">
        <row r="8">
          <cell r="B8" t="str">
            <v>ActewAGL Distribution</v>
          </cell>
        </row>
      </sheetData>
      <sheetData sheetId="1"/>
      <sheetData sheetId="2"/>
      <sheetData sheetId="3">
        <row r="3">
          <cell r="B3" t="str">
            <v>2018 to 2022</v>
          </cell>
        </row>
        <row r="35">
          <cell r="C35" t="str">
            <v>2018</v>
          </cell>
          <cell r="D35">
            <v>2019</v>
          </cell>
          <cell r="E35">
            <v>2020</v>
          </cell>
          <cell r="F35">
            <v>2021</v>
          </cell>
          <cell r="G35">
            <v>2022</v>
          </cell>
        </row>
        <row r="38">
          <cell r="C38">
            <v>2013</v>
          </cell>
          <cell r="D38">
            <v>2014</v>
          </cell>
          <cell r="E38">
            <v>2015</v>
          </cell>
          <cell r="F38">
            <v>2016</v>
          </cell>
          <cell r="G38">
            <v>2017</v>
          </cell>
        </row>
        <row r="41">
          <cell r="F41">
            <v>2011</v>
          </cell>
          <cell r="G41">
            <v>2012</v>
          </cell>
        </row>
        <row r="63">
          <cell r="C63" t="str">
            <v>December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2. Capex"/>
      <sheetName val="2.1 Mains"/>
      <sheetName val="2.2 Connections"/>
      <sheetName val="2.3 Meters"/>
      <sheetName val="2.4 Capex overheads"/>
      <sheetName val="3. Opex"/>
      <sheetName val="3.1 ARS"/>
      <sheetName val="4. Provisions"/>
      <sheetName val="5. Cost categories"/>
      <sheetName val="6. Related parties"/>
      <sheetName val="7. Incentives"/>
      <sheetName val="8.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5">
          <cell r="C25">
            <v>64543.364746457468</v>
          </cell>
        </row>
        <row r="29">
          <cell r="C29">
            <v>36.530999999999999</v>
          </cell>
        </row>
        <row r="30">
          <cell r="C30">
            <v>1274.8135480292196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2. Capex"/>
      <sheetName val="2.1 Mains"/>
      <sheetName val="2.2 Connections"/>
      <sheetName val="2.3 Meters"/>
      <sheetName val="2.4 Capex overheads"/>
      <sheetName val="3. Opex"/>
      <sheetName val="3.1 ARS"/>
      <sheetName val="4. Provisions"/>
      <sheetName val="5. Cost categories"/>
      <sheetName val="6. Related parties"/>
      <sheetName val="7. Incentives"/>
      <sheetName val="8. Deman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5">
          <cell r="C25">
            <v>64682.816699999981</v>
          </cell>
        </row>
        <row r="29">
          <cell r="C29">
            <v>9</v>
          </cell>
        </row>
        <row r="30">
          <cell r="C30">
            <v>871.87904999999898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2. Capex"/>
      <sheetName val="2.1 Mains"/>
      <sheetName val="2.2 Connections"/>
      <sheetName val="2.3 Meters"/>
      <sheetName val="2.4 Capex overheads"/>
      <sheetName val="3. Opex"/>
      <sheetName val="3.1 ARS"/>
      <sheetName val="4. Provisions"/>
      <sheetName val="5. Cost categories"/>
      <sheetName val="6. Related parties"/>
      <sheetName val="7. Incentives"/>
      <sheetName val="8. Deman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5">
          <cell r="C25">
            <v>67765.845690000016</v>
          </cell>
        </row>
        <row r="29">
          <cell r="C29">
            <v>25.132449999999999</v>
          </cell>
        </row>
        <row r="30">
          <cell r="C30">
            <v>951.96739999999841</v>
          </cell>
        </row>
        <row r="31">
          <cell r="C31">
            <v>-1263.1979199999998</v>
          </cell>
        </row>
        <row r="32">
          <cell r="C32">
            <v>3039.0619999999999</v>
          </cell>
        </row>
      </sheetData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|Opex Forecast"/>
      <sheetName val="Summary"/>
      <sheetName val="Rate of change"/>
      <sheetName val="Base Year - establishing"/>
      <sheetName val="Diff. between 2016 &amp; 2017"/>
      <sheetName val="BIS labour Real Cost Escalators"/>
      <sheetName val="Outout Growth - scenarios"/>
      <sheetName val="Economic Assumptions"/>
    </sheetNames>
    <sheetDataSet>
      <sheetData sheetId="0"/>
      <sheetData sheetId="1">
        <row r="10">
          <cell r="C10">
            <v>0.64351152635054454</v>
          </cell>
        </row>
      </sheetData>
      <sheetData sheetId="2"/>
      <sheetData sheetId="3">
        <row r="13">
          <cell r="G13">
            <v>68.734372879935563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topLeftCell="B1" workbookViewId="0">
      <selection activeCell="G16" sqref="G16"/>
    </sheetView>
  </sheetViews>
  <sheetFormatPr defaultColWidth="9.140625" defaultRowHeight="15"/>
  <cols>
    <col min="1" max="1" width="22.42578125" style="255" hidden="1" customWidth="1"/>
    <col min="2" max="2" width="20.85546875" style="256" customWidth="1"/>
    <col min="3" max="3" width="85.85546875" style="266" customWidth="1"/>
    <col min="4" max="10" width="15.28515625" style="266" customWidth="1"/>
    <col min="11" max="11" width="24.85546875" style="266" customWidth="1"/>
    <col min="12" max="23" width="15.28515625" style="266" customWidth="1"/>
    <col min="24" max="24" width="15.85546875" style="266" customWidth="1"/>
    <col min="25" max="25" width="11" style="235" bestFit="1" customWidth="1"/>
    <col min="26" max="26" width="10.5703125" style="235" bestFit="1" customWidth="1"/>
    <col min="27" max="27" width="10.7109375" style="235" bestFit="1" customWidth="1"/>
    <col min="28" max="28" width="11" style="235" bestFit="1" customWidth="1"/>
    <col min="29" max="29" width="9.28515625" style="235" customWidth="1"/>
    <col min="30" max="30" width="11" style="235" bestFit="1" customWidth="1"/>
    <col min="31" max="32" width="10.5703125" style="235" bestFit="1" customWidth="1"/>
    <col min="33" max="33" width="9.85546875" style="235" customWidth="1"/>
    <col min="34" max="16384" width="9.140625" style="266"/>
  </cols>
  <sheetData>
    <row r="1" spans="1:34" s="230" customFormat="1" ht="24.75" customHeight="1" thickBot="1">
      <c r="A1" s="229"/>
      <c r="C1" s="231" t="s">
        <v>136</v>
      </c>
      <c r="D1" s="232"/>
      <c r="E1" s="232"/>
      <c r="F1" s="232"/>
      <c r="G1" s="232"/>
      <c r="H1" s="232"/>
      <c r="I1" s="232"/>
      <c r="J1" s="233"/>
      <c r="K1" s="233"/>
      <c r="L1" s="233"/>
      <c r="M1" s="233"/>
      <c r="N1" s="233"/>
      <c r="O1" s="233"/>
      <c r="P1" s="233"/>
      <c r="Q1" s="233"/>
      <c r="R1" s="234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</row>
    <row r="2" spans="1:34" s="230" customFormat="1" ht="18.75" thickBot="1">
      <c r="A2" s="229"/>
      <c r="C2" s="236"/>
      <c r="D2" s="237" t="s">
        <v>52</v>
      </c>
      <c r="E2" s="238"/>
      <c r="F2" s="238"/>
      <c r="G2" s="238"/>
      <c r="H2" s="239"/>
      <c r="I2" s="240" t="s">
        <v>137</v>
      </c>
      <c r="J2" s="241"/>
      <c r="K2" s="242"/>
      <c r="L2" s="237" t="s">
        <v>52</v>
      </c>
      <c r="M2" s="238"/>
      <c r="N2" s="238"/>
      <c r="O2" s="238"/>
      <c r="P2" s="239"/>
      <c r="Q2" s="243" t="s">
        <v>137</v>
      </c>
      <c r="R2" s="244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</row>
    <row r="3" spans="1:34" s="230" customFormat="1" ht="18.75" thickBot="1">
      <c r="A3" s="229"/>
      <c r="C3" s="236"/>
      <c r="D3" s="245">
        <f>PRCP_y4</f>
        <v>2011</v>
      </c>
      <c r="E3" s="246">
        <f>PRCP_y5</f>
        <v>2012</v>
      </c>
      <c r="F3" s="247">
        <f>CRCP_y1</f>
        <v>2013</v>
      </c>
      <c r="G3" s="248">
        <f>CRCP_y2</f>
        <v>2014</v>
      </c>
      <c r="H3" s="248">
        <f>CRCP_y3</f>
        <v>2015</v>
      </c>
      <c r="I3" s="249">
        <f>CRCP_y4</f>
        <v>2016</v>
      </c>
      <c r="J3" s="250">
        <f>CRCP_y5</f>
        <v>2017</v>
      </c>
      <c r="K3" s="251"/>
      <c r="L3" s="252">
        <f>PRCP_y4</f>
        <v>2011</v>
      </c>
      <c r="M3" s="253">
        <f>PRCP_y5</f>
        <v>2012</v>
      </c>
      <c r="N3" s="247">
        <f>CRCP_y1</f>
        <v>2013</v>
      </c>
      <c r="O3" s="248">
        <f>CRCP_y2</f>
        <v>2014</v>
      </c>
      <c r="P3" s="248">
        <f>CRCP_y3</f>
        <v>2015</v>
      </c>
      <c r="Q3" s="248">
        <f>CRCP_y4</f>
        <v>2016</v>
      </c>
      <c r="R3" s="254">
        <f>CRCP_y5</f>
        <v>2017</v>
      </c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4" spans="1:34" ht="15" customHeight="1">
      <c r="A4" s="255" t="s">
        <v>138</v>
      </c>
      <c r="C4" s="257" t="s">
        <v>139</v>
      </c>
      <c r="D4" s="258">
        <v>179.4</v>
      </c>
      <c r="E4" s="259"/>
      <c r="F4" s="259"/>
      <c r="G4" s="259"/>
      <c r="H4" s="260"/>
      <c r="I4" s="260"/>
      <c r="J4" s="261"/>
      <c r="K4" s="262" t="s">
        <v>140</v>
      </c>
      <c r="L4" s="263">
        <v>3.5199076745527913E-2</v>
      </c>
      <c r="M4" s="264">
        <f t="shared" ref="M4:Q4" si="0">E5/D5-1</f>
        <v>2.0039999999999836E-2</v>
      </c>
      <c r="N4" s="264">
        <f t="shared" si="0"/>
        <v>2.1611001964630061E-2</v>
      </c>
      <c r="O4" s="264">
        <f t="shared" si="0"/>
        <v>2.3076923076923217E-2</v>
      </c>
      <c r="P4" s="264">
        <f t="shared" si="0"/>
        <v>1.5037593984962294E-2</v>
      </c>
      <c r="Q4" s="264">
        <f t="shared" si="0"/>
        <v>1.2960000000000083E-2</v>
      </c>
      <c r="R4" s="265">
        <f>J5/I5-1</f>
        <v>2.4999999999999911E-2</v>
      </c>
      <c r="X4" s="235"/>
      <c r="AG4" s="266"/>
    </row>
    <row r="5" spans="1:34" ht="15.75" customHeight="1" thickBot="1">
      <c r="A5" s="255" t="s">
        <v>141</v>
      </c>
      <c r="C5" s="267" t="s">
        <v>142</v>
      </c>
      <c r="D5" s="268">
        <v>179.4</v>
      </c>
      <c r="E5" s="269">
        <v>182.99517599999999</v>
      </c>
      <c r="F5" s="269">
        <v>186.94988510805382</v>
      </c>
      <c r="G5" s="269">
        <v>191.26411322593202</v>
      </c>
      <c r="H5" s="269">
        <v>194.14026530451744</v>
      </c>
      <c r="I5" s="269">
        <v>196.65632314286401</v>
      </c>
      <c r="J5" s="270">
        <v>201.57273122143559</v>
      </c>
      <c r="K5" s="271" t="str">
        <f>CONCATENATE("Cumulative index (",CRCP_y5,"=1)")</f>
        <v>Cumulative index (2017=1)</v>
      </c>
      <c r="L5" s="272">
        <f t="shared" ref="L5:Q5" si="1">M5/(1+M4)</f>
        <v>0.89000133556220995</v>
      </c>
      <c r="M5" s="273">
        <f t="shared" si="1"/>
        <v>0.9078369623268765</v>
      </c>
      <c r="N5" s="274">
        <f t="shared" si="1"/>
        <v>0.92745622870328637</v>
      </c>
      <c r="O5" s="274">
        <f t="shared" si="1"/>
        <v>0.94885906475028536</v>
      </c>
      <c r="P5" s="274">
        <f t="shared" si="1"/>
        <v>0.96312762211495118</v>
      </c>
      <c r="Q5" s="274">
        <f t="shared" si="1"/>
        <v>0.97560975609756106</v>
      </c>
      <c r="R5" s="275">
        <v>1</v>
      </c>
      <c r="X5" s="235"/>
      <c r="AG5" s="266"/>
    </row>
    <row r="6" spans="1:34" s="281" customFormat="1">
      <c r="A6" s="276"/>
      <c r="B6" s="277"/>
      <c r="C6" s="278"/>
      <c r="D6" s="279"/>
      <c r="E6" s="280"/>
      <c r="F6" s="280"/>
      <c r="G6" s="280"/>
      <c r="H6" s="280"/>
      <c r="I6" s="280"/>
      <c r="M6" s="282"/>
      <c r="N6" s="282"/>
      <c r="O6" s="282"/>
      <c r="P6" s="282"/>
      <c r="Q6" s="282"/>
      <c r="R6" s="282"/>
      <c r="T6" s="283"/>
      <c r="U6" s="283"/>
      <c r="V6" s="283"/>
      <c r="W6" s="283"/>
      <c r="X6" s="283"/>
      <c r="Y6" s="235"/>
      <c r="Z6" s="235"/>
      <c r="AA6" s="235"/>
      <c r="AB6" s="235"/>
      <c r="AC6" s="235"/>
      <c r="AD6" s="235"/>
      <c r="AE6" s="235"/>
      <c r="AF6" s="235"/>
      <c r="AG6" s="235"/>
    </row>
    <row r="7" spans="1:34" s="235" customFormat="1">
      <c r="A7" s="284"/>
    </row>
    <row r="8" spans="1:34" s="235" customFormat="1">
      <c r="A8" s="284"/>
    </row>
    <row r="9" spans="1:34" s="235" customFormat="1">
      <c r="A9" s="284"/>
    </row>
    <row r="10" spans="1:34" ht="17.25" customHeight="1">
      <c r="A10" s="285"/>
      <c r="B10" s="286"/>
      <c r="C10" s="287" t="str">
        <f>CONCATENATE("TABLE 23.4.1 - The carryover amounts that arise from applying the Incentive Mechanism during the ", dms_Reg_Year_Span, " regulatory control period")</f>
        <v>TABLE 23.4.1 - The carryover amounts that arise from applying the Incentive Mechanism during the 2018 to 2022 regulatory control period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35"/>
      <c r="AH10" s="288"/>
    </row>
    <row r="11" spans="1:34" s="230" customFormat="1" ht="15.75" thickBot="1">
      <c r="A11" s="22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35"/>
      <c r="Y11" s="235"/>
      <c r="Z11" s="235"/>
      <c r="AA11" s="235"/>
      <c r="AB11" s="235"/>
      <c r="AC11" s="235"/>
      <c r="AD11" s="235"/>
      <c r="AE11" s="235"/>
    </row>
    <row r="12" spans="1:34" s="291" customFormat="1" ht="24.75" customHeight="1" thickBot="1">
      <c r="A12" s="290"/>
      <c r="C12" s="292" t="s">
        <v>143</v>
      </c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35"/>
      <c r="Y12" s="235"/>
      <c r="Z12" s="235"/>
      <c r="AA12" s="235"/>
      <c r="AB12" s="235"/>
      <c r="AC12" s="235"/>
      <c r="AD12" s="235"/>
      <c r="AE12" s="235"/>
    </row>
    <row r="13" spans="1:34" s="230" customFormat="1" ht="15.75">
      <c r="A13" s="229"/>
      <c r="C13" s="294"/>
      <c r="D13" s="295" t="s">
        <v>144</v>
      </c>
      <c r="E13" s="296"/>
      <c r="F13" s="297" t="s">
        <v>145</v>
      </c>
      <c r="G13" s="298"/>
      <c r="H13" s="298"/>
      <c r="I13" s="298"/>
      <c r="J13" s="299"/>
      <c r="K13" s="235"/>
      <c r="L13" s="295" t="s">
        <v>144</v>
      </c>
      <c r="M13" s="296"/>
      <c r="N13" s="297" t="s">
        <v>145</v>
      </c>
      <c r="O13" s="298"/>
      <c r="P13" s="298"/>
      <c r="Q13" s="298"/>
      <c r="R13" s="299"/>
      <c r="S13" s="300" t="s">
        <v>146</v>
      </c>
      <c r="T13" s="301"/>
      <c r="U13" s="301"/>
      <c r="V13" s="301"/>
      <c r="W13" s="302"/>
      <c r="Y13" s="235"/>
      <c r="Z13" s="235"/>
      <c r="AA13" s="235"/>
      <c r="AB13" s="235"/>
      <c r="AC13" s="235"/>
      <c r="AD13" s="235"/>
      <c r="AE13" s="235"/>
    </row>
    <row r="14" spans="1:34" s="230" customFormat="1" ht="15.75" thickBot="1">
      <c r="A14" s="229"/>
      <c r="C14" s="303"/>
      <c r="D14" s="304" t="str">
        <f>CONCATENATE("$m, real ", (PRCP_y5))</f>
        <v>$m, real 2012</v>
      </c>
      <c r="E14" s="305"/>
      <c r="F14" s="306" t="str">
        <f>CONCATENATE("$m, real ", PRCP_y5)</f>
        <v>$m, real 2012</v>
      </c>
      <c r="G14" s="307"/>
      <c r="H14" s="307"/>
      <c r="I14" s="307"/>
      <c r="J14" s="308"/>
      <c r="K14" s="235"/>
      <c r="L14" s="309" t="str">
        <f>CONCATENATE("$m, real ", (CRCP_y5))</f>
        <v>$m, real 2017</v>
      </c>
      <c r="M14" s="310"/>
      <c r="N14" s="306" t="str">
        <f>CONCATENATE("$m, real ", dms_DollarReal)</f>
        <v>$m, real December 2017</v>
      </c>
      <c r="O14" s="307"/>
      <c r="P14" s="307"/>
      <c r="Q14" s="307"/>
      <c r="R14" s="308"/>
      <c r="S14" s="311"/>
      <c r="T14" s="312"/>
      <c r="U14" s="312"/>
      <c r="V14" s="312"/>
      <c r="W14" s="313"/>
      <c r="Y14" s="235"/>
      <c r="Z14" s="235"/>
      <c r="AA14" s="235"/>
      <c r="AB14" s="235"/>
      <c r="AC14" s="235"/>
      <c r="AD14" s="235"/>
      <c r="AE14" s="235"/>
    </row>
    <row r="15" spans="1:34" s="230" customFormat="1" ht="15.75" thickBot="1">
      <c r="A15" s="229"/>
      <c r="C15" s="303"/>
      <c r="D15" s="314">
        <f>PRCP_y4</f>
        <v>2011</v>
      </c>
      <c r="E15" s="315">
        <f>PRCP_y5</f>
        <v>2012</v>
      </c>
      <c r="F15" s="316">
        <f>CRCP_y1</f>
        <v>2013</v>
      </c>
      <c r="G15" s="317">
        <f>CRCP_y2</f>
        <v>2014</v>
      </c>
      <c r="H15" s="317">
        <f>CRCP_y3</f>
        <v>2015</v>
      </c>
      <c r="I15" s="317">
        <f>CRCP_y4</f>
        <v>2016</v>
      </c>
      <c r="J15" s="318">
        <f>CRCP_y5</f>
        <v>2017</v>
      </c>
      <c r="K15" s="235"/>
      <c r="L15" s="319">
        <f>CRCP_y1</f>
        <v>2013</v>
      </c>
      <c r="M15" s="320">
        <f>CRCP_y1</f>
        <v>2013</v>
      </c>
      <c r="N15" s="316">
        <f>CRCP_y1</f>
        <v>2013</v>
      </c>
      <c r="O15" s="317">
        <f>CRCP_y2</f>
        <v>2014</v>
      </c>
      <c r="P15" s="317">
        <f>CRCP_y3</f>
        <v>2015</v>
      </c>
      <c r="Q15" s="317">
        <f>CRCP_y4</f>
        <v>2016</v>
      </c>
      <c r="R15" s="318">
        <f>CRCP_y5</f>
        <v>2017</v>
      </c>
      <c r="S15" s="321" t="str">
        <f t="array" ref="S15:W15">FRCP</f>
        <v>2018</v>
      </c>
      <c r="T15" s="322">
        <v>2019</v>
      </c>
      <c r="U15" s="322">
        <v>2020</v>
      </c>
      <c r="V15" s="322">
        <v>2021</v>
      </c>
      <c r="W15" s="323">
        <v>2022</v>
      </c>
      <c r="Y15" s="235"/>
      <c r="Z15" s="235"/>
      <c r="AA15" s="235"/>
      <c r="AB15" s="235"/>
      <c r="AC15" s="235"/>
      <c r="AD15" s="235"/>
      <c r="AE15" s="235"/>
    </row>
    <row r="16" spans="1:34">
      <c r="A16" s="255" t="s">
        <v>147</v>
      </c>
      <c r="C16" s="324" t="s">
        <v>148</v>
      </c>
      <c r="D16" s="325"/>
      <c r="E16" s="326"/>
      <c r="F16" s="325">
        <f>56985.6176671568/1000</f>
        <v>56.985617667156802</v>
      </c>
      <c r="G16" s="326">
        <f>62456.7051042886/1000</f>
        <v>62.456705104288602</v>
      </c>
      <c r="H16" s="326">
        <f>64725.1352541961/1000</f>
        <v>64.725135254196104</v>
      </c>
      <c r="I16" s="326">
        <f>64371.4153847733/1000</f>
        <v>64.3714153847733</v>
      </c>
      <c r="J16" s="327">
        <f>65192.3229747373/1000</f>
        <v>65.192322974737294</v>
      </c>
      <c r="K16" s="235"/>
      <c r="L16" s="328">
        <f t="shared" ref="L16:M16" si="2">+D16/$M$5</f>
        <v>0</v>
      </c>
      <c r="M16" s="329">
        <f t="shared" si="2"/>
        <v>0</v>
      </c>
      <c r="N16" s="330">
        <f>+F16*($I$5/$D$5)</f>
        <v>62.467012499710641</v>
      </c>
      <c r="O16" s="331">
        <f t="shared" ref="O16:R16" si="3">+G16*($I$5/$D$5)</f>
        <v>68.464358870833578</v>
      </c>
      <c r="P16" s="331">
        <f t="shared" si="3"/>
        <v>70.950987257607409</v>
      </c>
      <c r="Q16" s="331">
        <f t="shared" si="3"/>
        <v>70.563243395047408</v>
      </c>
      <c r="R16" s="332">
        <f t="shared" si="3"/>
        <v>71.463113340880128</v>
      </c>
      <c r="S16" s="333"/>
      <c r="T16" s="333"/>
      <c r="U16" s="333"/>
      <c r="V16" s="333"/>
      <c r="W16" s="334"/>
      <c r="X16" s="335"/>
    </row>
    <row r="17" spans="1:31">
      <c r="C17" s="336" t="s">
        <v>149</v>
      </c>
      <c r="D17" s="337"/>
      <c r="E17" s="338"/>
      <c r="F17" s="337"/>
      <c r="G17" s="338"/>
      <c r="H17" s="338"/>
      <c r="I17" s="338"/>
      <c r="J17" s="339"/>
      <c r="K17" s="235"/>
      <c r="L17" s="340"/>
      <c r="M17" s="341"/>
      <c r="N17" s="340"/>
      <c r="O17" s="341"/>
      <c r="P17" s="341"/>
      <c r="Q17" s="341"/>
      <c r="R17" s="342"/>
      <c r="S17" s="333"/>
      <c r="T17" s="333"/>
      <c r="U17" s="333"/>
      <c r="V17" s="333"/>
      <c r="W17" s="334"/>
      <c r="X17" s="335"/>
    </row>
    <row r="18" spans="1:31">
      <c r="C18" s="343" t="s">
        <v>150</v>
      </c>
      <c r="D18" s="344"/>
      <c r="E18" s="345"/>
      <c r="F18" s="344">
        <v>0</v>
      </c>
      <c r="G18" s="345">
        <v>0</v>
      </c>
      <c r="H18" s="345">
        <v>0</v>
      </c>
      <c r="I18" s="345">
        <v>0</v>
      </c>
      <c r="J18" s="346">
        <v>0</v>
      </c>
      <c r="K18" s="235"/>
      <c r="L18" s="347">
        <f t="shared" ref="L18:R21" si="4">-D18/$M$5</f>
        <v>0</v>
      </c>
      <c r="M18" s="348">
        <f t="shared" si="4"/>
        <v>0</v>
      </c>
      <c r="N18" s="347">
        <f t="shared" si="4"/>
        <v>0</v>
      </c>
      <c r="O18" s="348">
        <f t="shared" si="4"/>
        <v>0</v>
      </c>
      <c r="P18" s="348">
        <f t="shared" si="4"/>
        <v>0</v>
      </c>
      <c r="Q18" s="348">
        <f t="shared" si="4"/>
        <v>0</v>
      </c>
      <c r="R18" s="349">
        <f t="shared" si="4"/>
        <v>0</v>
      </c>
      <c r="S18" s="333"/>
      <c r="T18" s="333"/>
      <c r="U18" s="333"/>
      <c r="V18" s="333"/>
      <c r="W18" s="334"/>
      <c r="X18" s="350"/>
    </row>
    <row r="19" spans="1:31">
      <c r="C19" s="343" t="s">
        <v>151</v>
      </c>
      <c r="D19" s="344"/>
      <c r="E19" s="345"/>
      <c r="F19" s="344">
        <v>0</v>
      </c>
      <c r="G19" s="345">
        <v>0</v>
      </c>
      <c r="H19" s="345">
        <v>0</v>
      </c>
      <c r="I19" s="345">
        <v>0</v>
      </c>
      <c r="J19" s="346">
        <v>0</v>
      </c>
      <c r="K19" s="235"/>
      <c r="L19" s="347">
        <f t="shared" si="4"/>
        <v>0</v>
      </c>
      <c r="M19" s="348">
        <f t="shared" si="4"/>
        <v>0</v>
      </c>
      <c r="N19" s="347">
        <f t="shared" si="4"/>
        <v>0</v>
      </c>
      <c r="O19" s="348">
        <f t="shared" si="4"/>
        <v>0</v>
      </c>
      <c r="P19" s="348">
        <f t="shared" si="4"/>
        <v>0</v>
      </c>
      <c r="Q19" s="348">
        <f t="shared" si="4"/>
        <v>0</v>
      </c>
      <c r="R19" s="349">
        <f t="shared" si="4"/>
        <v>0</v>
      </c>
      <c r="S19" s="333"/>
      <c r="T19" s="333"/>
      <c r="U19" s="333"/>
      <c r="V19" s="333"/>
      <c r="W19" s="334"/>
      <c r="X19" s="350"/>
    </row>
    <row r="20" spans="1:31">
      <c r="C20" s="343" t="s">
        <v>152</v>
      </c>
      <c r="D20" s="344"/>
      <c r="E20" s="345"/>
      <c r="F20" s="344">
        <v>0</v>
      </c>
      <c r="G20" s="345">
        <v>0</v>
      </c>
      <c r="H20" s="345">
        <v>0</v>
      </c>
      <c r="I20" s="345">
        <v>0</v>
      </c>
      <c r="J20" s="346">
        <v>0</v>
      </c>
      <c r="K20" s="235"/>
      <c r="L20" s="347">
        <f t="shared" si="4"/>
        <v>0</v>
      </c>
      <c r="M20" s="348">
        <f t="shared" si="4"/>
        <v>0</v>
      </c>
      <c r="N20" s="347">
        <f t="shared" si="4"/>
        <v>0</v>
      </c>
      <c r="O20" s="348">
        <f t="shared" si="4"/>
        <v>0</v>
      </c>
      <c r="P20" s="348">
        <f t="shared" si="4"/>
        <v>0</v>
      </c>
      <c r="Q20" s="348">
        <f t="shared" si="4"/>
        <v>0</v>
      </c>
      <c r="R20" s="349">
        <f t="shared" si="4"/>
        <v>0</v>
      </c>
      <c r="S20" s="333"/>
      <c r="T20" s="333"/>
      <c r="U20" s="333"/>
      <c r="V20" s="333"/>
      <c r="W20" s="334"/>
      <c r="X20" s="350"/>
    </row>
    <row r="21" spans="1:31" ht="25.5">
      <c r="C21" s="351" t="s">
        <v>153</v>
      </c>
      <c r="D21" s="344"/>
      <c r="E21" s="345"/>
      <c r="F21" s="344">
        <v>0</v>
      </c>
      <c r="G21" s="345">
        <v>0</v>
      </c>
      <c r="H21" s="345">
        <v>0</v>
      </c>
      <c r="I21" s="345">
        <v>0</v>
      </c>
      <c r="J21" s="346">
        <v>0</v>
      </c>
      <c r="K21" s="235"/>
      <c r="L21" s="347">
        <f t="shared" si="4"/>
        <v>0</v>
      </c>
      <c r="M21" s="348">
        <f t="shared" si="4"/>
        <v>0</v>
      </c>
      <c r="N21" s="347">
        <f t="shared" si="4"/>
        <v>0</v>
      </c>
      <c r="O21" s="348">
        <f t="shared" si="4"/>
        <v>0</v>
      </c>
      <c r="P21" s="348">
        <f t="shared" si="4"/>
        <v>0</v>
      </c>
      <c r="Q21" s="348">
        <f t="shared" si="4"/>
        <v>0</v>
      </c>
      <c r="R21" s="349">
        <f t="shared" si="4"/>
        <v>0</v>
      </c>
      <c r="S21" s="333"/>
      <c r="T21" s="333"/>
      <c r="U21" s="333"/>
      <c r="V21" s="333"/>
      <c r="W21" s="334"/>
      <c r="X21" s="350"/>
    </row>
    <row r="22" spans="1:31">
      <c r="A22" s="255" t="s">
        <v>154</v>
      </c>
      <c r="C22" s="352" t="s">
        <v>155</v>
      </c>
      <c r="D22" s="344"/>
      <c r="E22" s="345"/>
      <c r="F22" s="344">
        <v>0</v>
      </c>
      <c r="G22" s="345">
        <v>0</v>
      </c>
      <c r="H22" s="345">
        <v>0</v>
      </c>
      <c r="I22" s="345">
        <v>0</v>
      </c>
      <c r="J22" s="346">
        <v>0</v>
      </c>
      <c r="K22" s="235"/>
      <c r="L22" s="347">
        <f>D22/$M$5</f>
        <v>0</v>
      </c>
      <c r="M22" s="348">
        <f t="shared" ref="M22:R23" si="5">E22/$M$5</f>
        <v>0</v>
      </c>
      <c r="N22" s="347">
        <f t="shared" si="5"/>
        <v>0</v>
      </c>
      <c r="O22" s="348">
        <f t="shared" si="5"/>
        <v>0</v>
      </c>
      <c r="P22" s="348">
        <f t="shared" si="5"/>
        <v>0</v>
      </c>
      <c r="Q22" s="348">
        <f t="shared" si="5"/>
        <v>0</v>
      </c>
      <c r="R22" s="349">
        <f t="shared" si="5"/>
        <v>0</v>
      </c>
      <c r="S22" s="333"/>
      <c r="T22" s="333"/>
      <c r="U22" s="333"/>
      <c r="V22" s="333"/>
      <c r="W22" s="334"/>
      <c r="X22" s="350"/>
    </row>
    <row r="23" spans="1:31" ht="15.75" thickBot="1">
      <c r="C23" s="353" t="s">
        <v>156</v>
      </c>
      <c r="D23" s="354"/>
      <c r="E23" s="355"/>
      <c r="F23" s="354">
        <v>0</v>
      </c>
      <c r="G23" s="355">
        <v>0</v>
      </c>
      <c r="H23" s="355">
        <v>0</v>
      </c>
      <c r="I23" s="355">
        <v>0</v>
      </c>
      <c r="J23" s="356">
        <v>0</v>
      </c>
      <c r="K23" s="235"/>
      <c r="L23" s="347">
        <f>D23/$M$5</f>
        <v>0</v>
      </c>
      <c r="M23" s="348">
        <f t="shared" si="5"/>
        <v>0</v>
      </c>
      <c r="N23" s="347">
        <f t="shared" si="5"/>
        <v>0</v>
      </c>
      <c r="O23" s="348">
        <f t="shared" si="5"/>
        <v>0</v>
      </c>
      <c r="P23" s="348">
        <f t="shared" si="5"/>
        <v>0</v>
      </c>
      <c r="Q23" s="348">
        <f t="shared" si="5"/>
        <v>0</v>
      </c>
      <c r="R23" s="349">
        <f t="shared" si="5"/>
        <v>0</v>
      </c>
      <c r="S23" s="333"/>
      <c r="T23" s="333"/>
      <c r="U23" s="333"/>
      <c r="V23" s="333"/>
      <c r="W23" s="334"/>
      <c r="X23" s="350"/>
    </row>
    <row r="24" spans="1:31" ht="15.75" thickBot="1">
      <c r="A24" s="255" t="s">
        <v>157</v>
      </c>
      <c r="C24" s="357" t="s">
        <v>158</v>
      </c>
      <c r="D24" s="358">
        <f t="shared" ref="D24:J24" si="6">D16-SUM(D18:D21)+D22+D23</f>
        <v>0</v>
      </c>
      <c r="E24" s="359">
        <f t="shared" si="6"/>
        <v>0</v>
      </c>
      <c r="F24" s="358">
        <f t="shared" si="6"/>
        <v>56.985617667156802</v>
      </c>
      <c r="G24" s="359">
        <f t="shared" si="6"/>
        <v>62.456705104288602</v>
      </c>
      <c r="H24" s="359">
        <f t="shared" si="6"/>
        <v>64.725135254196104</v>
      </c>
      <c r="I24" s="359">
        <f t="shared" si="6"/>
        <v>64.3714153847733</v>
      </c>
      <c r="J24" s="360">
        <f t="shared" si="6"/>
        <v>65.192322974737294</v>
      </c>
      <c r="K24" s="235"/>
      <c r="L24" s="361">
        <f t="shared" ref="L24:R24" si="7">+SUM(L16:L23)</f>
        <v>0</v>
      </c>
      <c r="M24" s="362">
        <f t="shared" si="7"/>
        <v>0</v>
      </c>
      <c r="N24" s="363">
        <f t="shared" si="7"/>
        <v>62.467012499710641</v>
      </c>
      <c r="O24" s="362">
        <f t="shared" si="7"/>
        <v>68.464358870833578</v>
      </c>
      <c r="P24" s="362">
        <f t="shared" si="7"/>
        <v>70.950987257607409</v>
      </c>
      <c r="Q24" s="362">
        <f t="shared" si="7"/>
        <v>70.563243395047408</v>
      </c>
      <c r="R24" s="364">
        <f t="shared" si="7"/>
        <v>71.463113340880128</v>
      </c>
      <c r="S24" s="365"/>
      <c r="T24" s="365"/>
      <c r="U24" s="365"/>
      <c r="V24" s="365"/>
      <c r="W24" s="366"/>
      <c r="X24" s="350"/>
    </row>
    <row r="25" spans="1:31" ht="15.75" thickBot="1">
      <c r="C25" s="367"/>
      <c r="D25" s="368"/>
      <c r="E25" s="368"/>
      <c r="F25" s="369"/>
      <c r="G25" s="369"/>
      <c r="H25" s="369"/>
      <c r="I25" s="369"/>
      <c r="J25" s="370"/>
      <c r="K25" s="371"/>
      <c r="L25" s="235"/>
      <c r="M25" s="368"/>
      <c r="N25" s="368"/>
      <c r="O25" s="368"/>
      <c r="P25" s="368"/>
      <c r="Q25" s="368"/>
      <c r="R25" s="368"/>
      <c r="S25" s="372"/>
      <c r="T25" s="372"/>
      <c r="U25" s="372"/>
      <c r="V25" s="372"/>
      <c r="W25" s="373"/>
      <c r="X25" s="350"/>
    </row>
    <row r="26" spans="1:31" s="291" customFormat="1" ht="25.5" customHeight="1" thickBot="1">
      <c r="A26" s="290"/>
      <c r="C26" s="292" t="s">
        <v>159</v>
      </c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374"/>
      <c r="X26" s="230"/>
      <c r="Y26" s="235"/>
      <c r="Z26" s="235"/>
      <c r="AA26" s="235"/>
      <c r="AB26" s="235"/>
      <c r="AC26" s="235"/>
      <c r="AD26" s="235"/>
      <c r="AE26" s="235"/>
    </row>
    <row r="27" spans="1:31" s="291" customFormat="1" ht="25.5" customHeight="1">
      <c r="A27" s="290"/>
      <c r="C27" s="375"/>
      <c r="D27" s="376" t="s">
        <v>144</v>
      </c>
      <c r="E27" s="377"/>
      <c r="F27" s="297" t="s">
        <v>145</v>
      </c>
      <c r="G27" s="298"/>
      <c r="H27" s="298"/>
      <c r="I27" s="298"/>
      <c r="J27" s="299"/>
      <c r="K27" s="378"/>
      <c r="L27" s="295" t="s">
        <v>144</v>
      </c>
      <c r="M27" s="296"/>
      <c r="N27" s="379" t="s">
        <v>145</v>
      </c>
      <c r="O27" s="380"/>
      <c r="P27" s="380"/>
      <c r="Q27" s="380"/>
      <c r="R27" s="381"/>
      <c r="S27" s="382"/>
      <c r="T27" s="383"/>
      <c r="U27" s="383"/>
      <c r="V27" s="383"/>
      <c r="W27" s="384"/>
      <c r="X27" s="230"/>
      <c r="Y27" s="235"/>
      <c r="Z27" s="235"/>
      <c r="AA27" s="235"/>
      <c r="AB27" s="235"/>
      <c r="AC27" s="235"/>
      <c r="AD27" s="235"/>
      <c r="AE27" s="235"/>
    </row>
    <row r="28" spans="1:31" s="230" customFormat="1" ht="15.75" thickBot="1">
      <c r="A28" s="229"/>
      <c r="C28" s="375"/>
      <c r="D28" s="304" t="s">
        <v>160</v>
      </c>
      <c r="E28" s="305"/>
      <c r="F28" s="306" t="s">
        <v>160</v>
      </c>
      <c r="G28" s="307"/>
      <c r="H28" s="307"/>
      <c r="I28" s="307"/>
      <c r="J28" s="308"/>
      <c r="K28" s="385"/>
      <c r="L28" s="309" t="str">
        <f>CONCATENATE("$m, real ", (CRCP_y5))</f>
        <v>$m, real 2017</v>
      </c>
      <c r="M28" s="310"/>
      <c r="N28" s="306" t="str">
        <f>CONCATENATE("$m, real ", dms_DollarReal)</f>
        <v>$m, real December 2017</v>
      </c>
      <c r="O28" s="307"/>
      <c r="P28" s="307"/>
      <c r="Q28" s="307"/>
      <c r="R28" s="308"/>
      <c r="S28" s="386"/>
      <c r="T28" s="387"/>
      <c r="U28" s="387"/>
      <c r="V28" s="387"/>
      <c r="W28" s="388"/>
      <c r="Y28" s="235"/>
      <c r="Z28" s="235"/>
      <c r="AA28" s="235"/>
      <c r="AB28" s="235"/>
      <c r="AC28" s="235"/>
      <c r="AD28" s="235"/>
      <c r="AE28" s="235"/>
    </row>
    <row r="29" spans="1:31" s="230" customFormat="1" ht="15.75" thickBot="1">
      <c r="A29" s="229"/>
      <c r="C29" s="251"/>
      <c r="D29" s="314">
        <f>PRCP_y4</f>
        <v>2011</v>
      </c>
      <c r="E29" s="315">
        <f>PRCP_y5</f>
        <v>2012</v>
      </c>
      <c r="F29" s="316">
        <f>CRCP_y1</f>
        <v>2013</v>
      </c>
      <c r="G29" s="317">
        <f>CRCP_y2</f>
        <v>2014</v>
      </c>
      <c r="H29" s="317">
        <f>CRCP_y3</f>
        <v>2015</v>
      </c>
      <c r="I29" s="317">
        <f>CRCP_y4</f>
        <v>2016</v>
      </c>
      <c r="J29" s="318">
        <f>CRCP_y5</f>
        <v>2017</v>
      </c>
      <c r="K29" s="385"/>
      <c r="L29" s="319">
        <f>PRCP_y4</f>
        <v>2011</v>
      </c>
      <c r="M29" s="320">
        <f>PRCP_y5</f>
        <v>2012</v>
      </c>
      <c r="N29" s="316">
        <f>CRCP_y1</f>
        <v>2013</v>
      </c>
      <c r="O29" s="317">
        <f>CRCP_y2</f>
        <v>2014</v>
      </c>
      <c r="P29" s="317">
        <f>CRCP_y3</f>
        <v>2015</v>
      </c>
      <c r="Q29" s="317">
        <f>CRCP_y4</f>
        <v>2016</v>
      </c>
      <c r="R29" s="318">
        <f>CRCP_y5</f>
        <v>2017</v>
      </c>
      <c r="S29" s="386"/>
      <c r="T29" s="387"/>
      <c r="U29" s="387"/>
      <c r="V29" s="387"/>
      <c r="W29" s="388"/>
      <c r="Y29" s="235"/>
      <c r="Z29" s="235"/>
      <c r="AA29" s="235"/>
      <c r="AB29" s="235"/>
      <c r="AC29" s="235"/>
      <c r="AD29" s="235"/>
      <c r="AE29" s="235"/>
    </row>
    <row r="30" spans="1:31">
      <c r="A30" s="255" t="s">
        <v>161</v>
      </c>
      <c r="C30" s="324" t="s">
        <v>162</v>
      </c>
      <c r="D30" s="325"/>
      <c r="E30" s="326"/>
      <c r="F30" s="325">
        <f>'[6]7. Incentives'!$C$25/1000</f>
        <v>64.54336474645747</v>
      </c>
      <c r="G30" s="326">
        <f>'[7]7. Incentives'!$C$25/1000</f>
        <v>64.682816699999975</v>
      </c>
      <c r="H30" s="326">
        <f>'[8]7. Incentives'!$C$25/1000</f>
        <v>67.76584569000002</v>
      </c>
      <c r="I30" s="389">
        <f>'[9]Base Year - establishing'!$G$13</f>
        <v>68.734372879935563</v>
      </c>
      <c r="J30" s="390"/>
      <c r="K30" s="235"/>
      <c r="L30" s="391">
        <f t="shared" ref="L30:M30" si="8">+D30/L$5*(1+L$4)^0.5</f>
        <v>0</v>
      </c>
      <c r="M30" s="392">
        <f t="shared" si="8"/>
        <v>0</v>
      </c>
      <c r="N30" s="391">
        <f>F30*$I$5/E5</f>
        <v>69.361723471372144</v>
      </c>
      <c r="O30" s="392">
        <f t="shared" ref="O30:Q30" si="9">G30*$I$5/F5</f>
        <v>68.041148543063983</v>
      </c>
      <c r="P30" s="392">
        <f t="shared" si="9"/>
        <v>69.676333020821247</v>
      </c>
      <c r="Q30" s="393">
        <f t="shared" si="9"/>
        <v>69.625170352459534</v>
      </c>
      <c r="R30" s="394"/>
      <c r="S30" s="395"/>
      <c r="T30" s="395"/>
      <c r="U30" s="395"/>
      <c r="V30" s="395"/>
      <c r="W30" s="396"/>
    </row>
    <row r="31" spans="1:31">
      <c r="C31" s="397" t="s">
        <v>163</v>
      </c>
      <c r="D31" s="398"/>
      <c r="E31" s="399"/>
      <c r="F31" s="398"/>
      <c r="G31" s="399"/>
      <c r="H31" s="399"/>
      <c r="I31" s="400"/>
      <c r="J31" s="401"/>
      <c r="K31" s="235"/>
      <c r="L31" s="402"/>
      <c r="M31" s="403"/>
      <c r="N31" s="402"/>
      <c r="O31" s="403"/>
      <c r="P31" s="403"/>
      <c r="Q31" s="404"/>
      <c r="R31" s="405"/>
      <c r="S31" s="395"/>
      <c r="T31" s="395"/>
      <c r="U31" s="395"/>
      <c r="V31" s="395"/>
      <c r="W31" s="396"/>
      <c r="X31" s="335"/>
    </row>
    <row r="32" spans="1:31">
      <c r="A32" s="255" t="s">
        <v>164</v>
      </c>
      <c r="C32" s="343" t="s">
        <v>165</v>
      </c>
      <c r="D32" s="344"/>
      <c r="E32" s="345"/>
      <c r="F32" s="344">
        <v>0</v>
      </c>
      <c r="G32" s="345">
        <v>0</v>
      </c>
      <c r="H32" s="345">
        <v>0</v>
      </c>
      <c r="I32" s="406">
        <v>0</v>
      </c>
      <c r="J32" s="401"/>
      <c r="K32" s="235"/>
      <c r="L32" s="407">
        <f t="shared" ref="L32:Q38" si="10">-D32/L$5*(1+L$4)^0.5</f>
        <v>0</v>
      </c>
      <c r="M32" s="408">
        <f t="shared" si="10"/>
        <v>0</v>
      </c>
      <c r="N32" s="407">
        <f t="shared" si="10"/>
        <v>0</v>
      </c>
      <c r="O32" s="408">
        <f t="shared" si="10"/>
        <v>0</v>
      </c>
      <c r="P32" s="408">
        <f t="shared" si="10"/>
        <v>0</v>
      </c>
      <c r="Q32" s="409">
        <f t="shared" si="10"/>
        <v>0</v>
      </c>
      <c r="R32" s="410"/>
      <c r="S32" s="395"/>
      <c r="T32" s="395"/>
      <c r="U32" s="395"/>
      <c r="V32" s="395"/>
      <c r="W32" s="396"/>
      <c r="X32" s="411"/>
    </row>
    <row r="33" spans="1:32">
      <c r="A33" s="255" t="s">
        <v>166</v>
      </c>
      <c r="C33" s="343" t="s">
        <v>167</v>
      </c>
      <c r="D33" s="344"/>
      <c r="E33" s="345"/>
      <c r="F33" s="344">
        <v>0</v>
      </c>
      <c r="G33" s="345">
        <v>0</v>
      </c>
      <c r="H33" s="345">
        <f>'[8]7. Incentives'!$C$31/1000</f>
        <v>-1.2631979199999999</v>
      </c>
      <c r="I33" s="406">
        <v>0</v>
      </c>
      <c r="J33" s="401"/>
      <c r="K33" s="235"/>
      <c r="L33" s="407">
        <f t="shared" si="10"/>
        <v>0</v>
      </c>
      <c r="M33" s="408">
        <f t="shared" si="10"/>
        <v>0</v>
      </c>
      <c r="N33" s="407">
        <f t="shared" si="10"/>
        <v>0</v>
      </c>
      <c r="O33" s="408">
        <f t="shared" si="10"/>
        <v>0</v>
      </c>
      <c r="P33" s="408">
        <f t="shared" si="10"/>
        <v>1.3213827323812357</v>
      </c>
      <c r="Q33" s="409">
        <f t="shared" si="10"/>
        <v>0</v>
      </c>
      <c r="R33" s="410"/>
      <c r="S33" s="395"/>
      <c r="T33" s="395"/>
      <c r="U33" s="395"/>
      <c r="V33" s="395"/>
      <c r="W33" s="396"/>
      <c r="X33" s="412"/>
    </row>
    <row r="34" spans="1:32">
      <c r="C34" s="343" t="str">
        <f>C18</f>
        <v>unaccounted for gas expenses (clause 6.4(j)(3))</v>
      </c>
      <c r="D34" s="344"/>
      <c r="E34" s="345"/>
      <c r="F34" s="344">
        <v>0</v>
      </c>
      <c r="G34" s="345">
        <v>0</v>
      </c>
      <c r="H34" s="345">
        <f>'[8]7. Incentives'!$C$32/1000</f>
        <v>3.0390619999999999</v>
      </c>
      <c r="I34" s="406">
        <v>0</v>
      </c>
      <c r="J34" s="401"/>
      <c r="K34" s="235"/>
      <c r="L34" s="407">
        <f t="shared" si="10"/>
        <v>0</v>
      </c>
      <c r="M34" s="408">
        <f t="shared" si="10"/>
        <v>0</v>
      </c>
      <c r="N34" s="407">
        <f t="shared" si="10"/>
        <v>0</v>
      </c>
      <c r="O34" s="408">
        <f t="shared" si="10"/>
        <v>0</v>
      </c>
      <c r="P34" s="408">
        <f t="shared" si="10"/>
        <v>-3.1790458057720548</v>
      </c>
      <c r="Q34" s="409">
        <f t="shared" si="10"/>
        <v>0</v>
      </c>
      <c r="R34" s="413"/>
      <c r="S34" s="395"/>
      <c r="T34" s="395"/>
      <c r="U34" s="395"/>
      <c r="V34" s="395"/>
      <c r="W34" s="396"/>
      <c r="X34" s="412"/>
    </row>
    <row r="35" spans="1:32">
      <c r="A35" s="255" t="s">
        <v>168</v>
      </c>
      <c r="C35" s="343" t="str">
        <f>C19</f>
        <v>licence fees (clause 6.4(j)(4))</v>
      </c>
      <c r="D35" s="344"/>
      <c r="E35" s="345"/>
      <c r="F35" s="344">
        <f>'[6]7. Incentives'!$C$29/1000</f>
        <v>3.6531000000000001E-2</v>
      </c>
      <c r="G35" s="345">
        <f>'[7]7. Incentives'!$C$29/1000</f>
        <v>8.9999999999999993E-3</v>
      </c>
      <c r="H35" s="345">
        <f>'[8]7. Incentives'!$C$29/1000</f>
        <v>2.5132449999999997E-2</v>
      </c>
      <c r="I35" s="406"/>
      <c r="J35" s="401"/>
      <c r="K35" s="235"/>
      <c r="L35" s="407">
        <f t="shared" si="10"/>
        <v>0</v>
      </c>
      <c r="M35" s="408">
        <f t="shared" si="10"/>
        <v>0</v>
      </c>
      <c r="N35" s="407">
        <f t="shared" si="10"/>
        <v>-3.981171800099885E-2</v>
      </c>
      <c r="O35" s="408">
        <f t="shared" si="10"/>
        <v>-9.5938945985939526E-3</v>
      </c>
      <c r="P35" s="408">
        <f t="shared" si="10"/>
        <v>-2.6290088771231346E-2</v>
      </c>
      <c r="Q35" s="409">
        <f t="shared" si="10"/>
        <v>0</v>
      </c>
      <c r="R35" s="413"/>
      <c r="S35" s="395"/>
      <c r="T35" s="395"/>
      <c r="U35" s="395"/>
      <c r="V35" s="395"/>
      <c r="W35" s="396"/>
      <c r="X35" s="412"/>
    </row>
    <row r="36" spans="1:32">
      <c r="C36" s="343" t="str">
        <f>C20</f>
        <v>debt raising costs (clause 6.4(j)(5))</v>
      </c>
      <c r="D36" s="414"/>
      <c r="E36" s="415"/>
      <c r="F36" s="414">
        <v>0</v>
      </c>
      <c r="G36" s="415">
        <v>0</v>
      </c>
      <c r="H36" s="415">
        <v>0</v>
      </c>
      <c r="I36" s="416">
        <v>0</v>
      </c>
      <c r="J36" s="401"/>
      <c r="K36" s="235"/>
      <c r="L36" s="417">
        <f t="shared" si="10"/>
        <v>0</v>
      </c>
      <c r="M36" s="418">
        <f t="shared" si="10"/>
        <v>0</v>
      </c>
      <c r="N36" s="417">
        <f t="shared" si="10"/>
        <v>0</v>
      </c>
      <c r="O36" s="418">
        <f t="shared" si="10"/>
        <v>0</v>
      </c>
      <c r="P36" s="418">
        <f t="shared" si="10"/>
        <v>0</v>
      </c>
      <c r="Q36" s="419">
        <f t="shared" si="10"/>
        <v>0</v>
      </c>
      <c r="R36" s="413"/>
      <c r="S36" s="395"/>
      <c r="T36" s="395"/>
      <c r="U36" s="395"/>
      <c r="V36" s="395"/>
      <c r="W36" s="396"/>
      <c r="X36" s="412"/>
    </row>
    <row r="37" spans="1:32">
      <c r="C37" s="343" t="s">
        <v>169</v>
      </c>
      <c r="D37" s="414"/>
      <c r="E37" s="415"/>
      <c r="F37" s="414">
        <f>'[6]7. Incentives'!$C$30/1000</f>
        <v>1.2748135480292198</v>
      </c>
      <c r="G37" s="415">
        <f>'[7]7. Incentives'!$C$30/1000</f>
        <v>0.87187904999999899</v>
      </c>
      <c r="H37" s="415">
        <f>'[8]7. Incentives'!$C$30/1000</f>
        <v>0.95196739999999835</v>
      </c>
      <c r="I37" s="416"/>
      <c r="J37" s="401"/>
      <c r="K37" s="235"/>
      <c r="L37" s="417">
        <f t="shared" si="10"/>
        <v>0</v>
      </c>
      <c r="M37" s="418">
        <f t="shared" si="10"/>
        <v>0</v>
      </c>
      <c r="N37" s="417">
        <f t="shared" si="10"/>
        <v>-1.3892999774983465</v>
      </c>
      <c r="O37" s="418">
        <f t="shared" si="10"/>
        <v>-0.92941285649135741</v>
      </c>
      <c r="P37" s="418">
        <f t="shared" si="10"/>
        <v>-0.99581646251432943</v>
      </c>
      <c r="Q37" s="419">
        <f t="shared" si="10"/>
        <v>0</v>
      </c>
      <c r="R37" s="413"/>
      <c r="S37" s="395"/>
      <c r="T37" s="395"/>
      <c r="U37" s="395"/>
      <c r="V37" s="395"/>
      <c r="W37" s="396"/>
      <c r="X37" s="412"/>
    </row>
    <row r="38" spans="1:32" ht="26.25" thickBot="1">
      <c r="C38" s="351" t="str">
        <f t="shared" ref="C38" si="11">C21</f>
        <v>any other activity that Multinet and the Regulator agree to exclude from the operation of the efficiency carryover mechanism (clause 6.4(j)(7))</v>
      </c>
      <c r="D38" s="354"/>
      <c r="E38" s="355"/>
      <c r="F38" s="354">
        <v>0</v>
      </c>
      <c r="G38" s="355">
        <v>0</v>
      </c>
      <c r="H38" s="355">
        <v>0</v>
      </c>
      <c r="I38" s="420">
        <v>0</v>
      </c>
      <c r="J38" s="401"/>
      <c r="K38" s="235"/>
      <c r="L38" s="417">
        <f t="shared" si="10"/>
        <v>0</v>
      </c>
      <c r="M38" s="418">
        <f t="shared" si="10"/>
        <v>0</v>
      </c>
      <c r="N38" s="417">
        <f t="shared" si="10"/>
        <v>0</v>
      </c>
      <c r="O38" s="418">
        <f t="shared" si="10"/>
        <v>0</v>
      </c>
      <c r="P38" s="418">
        <f t="shared" si="10"/>
        <v>0</v>
      </c>
      <c r="Q38" s="419">
        <f t="shared" si="10"/>
        <v>0</v>
      </c>
      <c r="R38" s="413"/>
      <c r="S38" s="395"/>
      <c r="T38" s="395"/>
      <c r="U38" s="395"/>
      <c r="V38" s="395"/>
      <c r="W38" s="396"/>
      <c r="X38" s="412"/>
    </row>
    <row r="39" spans="1:32" ht="15.75" thickBot="1">
      <c r="A39" s="255" t="s">
        <v>170</v>
      </c>
      <c r="C39" s="357" t="s">
        <v>171</v>
      </c>
      <c r="D39" s="421">
        <f t="shared" ref="D39:I39" si="12">+D30-SUM(D32:D38)</f>
        <v>0</v>
      </c>
      <c r="E39" s="422">
        <f t="shared" si="12"/>
        <v>0</v>
      </c>
      <c r="F39" s="423">
        <f t="shared" si="12"/>
        <v>63.232020198428252</v>
      </c>
      <c r="G39" s="422">
        <f t="shared" si="12"/>
        <v>63.801937649999978</v>
      </c>
      <c r="H39" s="422">
        <f t="shared" si="12"/>
        <v>65.012881760000027</v>
      </c>
      <c r="I39" s="424">
        <f t="shared" si="12"/>
        <v>68.734372879935563</v>
      </c>
      <c r="J39" s="425"/>
      <c r="K39" s="235"/>
      <c r="L39" s="426">
        <f t="shared" ref="L39:Q39" si="13">L30+SUM(L32:L38)</f>
        <v>0</v>
      </c>
      <c r="M39" s="427">
        <f t="shared" si="13"/>
        <v>0</v>
      </c>
      <c r="N39" s="426">
        <f t="shared" si="13"/>
        <v>67.9326117758728</v>
      </c>
      <c r="O39" s="427">
        <f t="shared" si="13"/>
        <v>67.102141791974034</v>
      </c>
      <c r="P39" s="427">
        <f t="shared" si="13"/>
        <v>66.796563396144862</v>
      </c>
      <c r="Q39" s="428">
        <f t="shared" si="13"/>
        <v>69.625170352459534</v>
      </c>
      <c r="R39" s="429">
        <f>+Q39+R24-Q24</f>
        <v>70.525040298292254</v>
      </c>
      <c r="S39" s="430"/>
      <c r="T39" s="430"/>
      <c r="U39" s="430"/>
      <c r="V39" s="430"/>
      <c r="W39" s="431"/>
      <c r="X39" s="335"/>
    </row>
    <row r="40" spans="1:32" ht="39.950000000000003" customHeight="1" thickBot="1">
      <c r="C40" s="432"/>
      <c r="D40" s="432"/>
      <c r="E40" s="433"/>
      <c r="F40" s="432"/>
      <c r="G40" s="432"/>
      <c r="H40" s="432"/>
      <c r="I40" s="432"/>
      <c r="J40" s="432"/>
      <c r="K40" s="235"/>
      <c r="L40" s="432"/>
      <c r="M40" s="432"/>
      <c r="N40" s="432"/>
      <c r="O40" s="432"/>
      <c r="P40" s="432"/>
      <c r="Q40" s="434"/>
      <c r="R40" s="435"/>
      <c r="S40" s="436"/>
      <c r="T40" s="436"/>
      <c r="U40" s="436"/>
      <c r="V40" s="436"/>
      <c r="W40" s="436"/>
      <c r="X40" s="436"/>
    </row>
    <row r="41" spans="1:32" s="230" customFormat="1" ht="18.75" thickBot="1">
      <c r="A41" s="229"/>
      <c r="C41" s="437"/>
      <c r="D41" s="437"/>
      <c r="E41" s="437"/>
      <c r="F41" s="437"/>
      <c r="G41" s="437"/>
      <c r="H41" s="437"/>
      <c r="I41" s="437"/>
      <c r="J41" s="438"/>
      <c r="L41" s="439" t="str">
        <f>CONCATENATE("Incremental gain ($m, ",CRCP_y5,")")</f>
        <v>Incremental gain ($m, 2017)</v>
      </c>
      <c r="M41" s="440"/>
      <c r="N41" s="441"/>
      <c r="O41" s="441"/>
      <c r="P41" s="441"/>
      <c r="Q41" s="441"/>
      <c r="R41" s="441"/>
      <c r="S41" s="441"/>
      <c r="T41" s="441"/>
      <c r="U41" s="441"/>
      <c r="V41" s="441"/>
      <c r="W41" s="442"/>
      <c r="X41" s="443"/>
      <c r="Y41" s="235"/>
      <c r="Z41" s="235"/>
      <c r="AA41" s="235"/>
      <c r="AB41" s="235"/>
      <c r="AC41" s="235"/>
      <c r="AD41" s="235"/>
      <c r="AE41" s="235"/>
    </row>
    <row r="42" spans="1:32" ht="15.75" thickBot="1">
      <c r="C42" s="432"/>
      <c r="D42" s="432"/>
      <c r="E42" s="432"/>
      <c r="F42" s="432"/>
      <c r="G42" s="432"/>
      <c r="H42" s="432"/>
      <c r="I42" s="432"/>
      <c r="J42" s="432"/>
      <c r="K42" s="235"/>
      <c r="L42" s="444"/>
      <c r="M42" s="445"/>
      <c r="N42" s="446">
        <f>(N24-N39)</f>
        <v>-5.465599276162159</v>
      </c>
      <c r="O42" s="447">
        <f>(O24-O39)-(N24-N39)</f>
        <v>6.827816355021703</v>
      </c>
      <c r="P42" s="447">
        <f>(P24-P39)-(O24-O39)</f>
        <v>2.792206782603003</v>
      </c>
      <c r="Q42" s="447">
        <f>(Q24-Q39)-(P24-P39)</f>
        <v>-3.2163508188746732</v>
      </c>
      <c r="R42" s="448">
        <f>(R24-R39)-(Q24-Q39)</f>
        <v>0</v>
      </c>
      <c r="S42" s="449"/>
      <c r="T42" s="450"/>
      <c r="U42" s="450"/>
      <c r="V42" s="450"/>
      <c r="W42" s="451"/>
      <c r="X42" s="335"/>
    </row>
    <row r="43" spans="1:32" ht="39.950000000000003" customHeight="1" thickBot="1">
      <c r="F43" s="432"/>
      <c r="G43" s="432"/>
      <c r="H43" s="432"/>
      <c r="I43" s="432"/>
      <c r="J43" s="432"/>
      <c r="K43" s="235"/>
      <c r="L43" s="452"/>
      <c r="M43" s="452"/>
      <c r="N43" s="453"/>
      <c r="O43" s="452"/>
      <c r="P43" s="452"/>
      <c r="Q43" s="452"/>
      <c r="R43" s="452"/>
      <c r="S43" s="452"/>
      <c r="T43" s="452"/>
      <c r="U43" s="452"/>
      <c r="V43" s="452"/>
      <c r="W43" s="452"/>
      <c r="X43" s="281"/>
    </row>
    <row r="44" spans="1:32" s="230" customFormat="1" ht="18.75" thickBot="1">
      <c r="A44" s="229"/>
      <c r="C44" s="437"/>
      <c r="D44" s="437"/>
      <c r="E44" s="437"/>
      <c r="F44" s="437"/>
      <c r="G44" s="437"/>
      <c r="H44" s="437"/>
      <c r="I44" s="437"/>
      <c r="J44" s="454"/>
      <c r="L44" s="455" t="s">
        <v>172</v>
      </c>
      <c r="M44" s="441"/>
      <c r="N44" s="456" t="str">
        <f>CONCATENATE("$m, real ", CRCP_y5)</f>
        <v>$m, real 2017</v>
      </c>
      <c r="O44" s="457"/>
      <c r="P44" s="457"/>
      <c r="Q44" s="457"/>
      <c r="R44" s="457"/>
      <c r="S44" s="457"/>
      <c r="T44" s="457"/>
      <c r="U44" s="457"/>
      <c r="V44" s="457"/>
      <c r="W44" s="458"/>
      <c r="X44" s="459" t="s">
        <v>173</v>
      </c>
      <c r="Y44" s="460"/>
      <c r="Z44" s="235"/>
      <c r="AA44" s="235"/>
      <c r="AB44" s="235"/>
      <c r="AC44" s="235"/>
      <c r="AD44" s="235"/>
      <c r="AE44" s="235"/>
      <c r="AF44" s="235"/>
    </row>
    <row r="45" spans="1:32" ht="15.75" thickBot="1">
      <c r="C45" s="432"/>
      <c r="D45" s="432"/>
      <c r="E45" s="432"/>
      <c r="F45" s="432"/>
      <c r="G45" s="432"/>
      <c r="H45" s="432"/>
      <c r="I45" s="432"/>
      <c r="J45" s="432"/>
      <c r="K45" s="235"/>
      <c r="L45" s="461">
        <f>CRCP_y1</f>
        <v>2013</v>
      </c>
      <c r="M45" s="462"/>
      <c r="N45" s="463"/>
      <c r="O45" s="464">
        <f>$N$42</f>
        <v>-5.465599276162159</v>
      </c>
      <c r="P45" s="392">
        <f>$N$42</f>
        <v>-5.465599276162159</v>
      </c>
      <c r="Q45" s="465">
        <f>$N$42</f>
        <v>-5.465599276162159</v>
      </c>
      <c r="R45" s="392">
        <f>$N$42</f>
        <v>-5.465599276162159</v>
      </c>
      <c r="S45" s="466">
        <f>$N$42</f>
        <v>-5.465599276162159</v>
      </c>
      <c r="T45" s="467"/>
      <c r="U45" s="467"/>
      <c r="V45" s="467"/>
      <c r="W45" s="468"/>
      <c r="X45" s="469"/>
    </row>
    <row r="46" spans="1:32" ht="15.75" thickBot="1">
      <c r="C46" s="432"/>
      <c r="D46" s="432"/>
      <c r="E46" s="432"/>
      <c r="F46" s="432"/>
      <c r="G46" s="432"/>
      <c r="H46" s="432"/>
      <c r="I46" s="432"/>
      <c r="J46" s="432"/>
      <c r="K46" s="235"/>
      <c r="L46" s="470">
        <f>CRCP_y2</f>
        <v>2014</v>
      </c>
      <c r="M46" s="471"/>
      <c r="N46" s="472"/>
      <c r="O46" s="473"/>
      <c r="P46" s="474">
        <f>$O$42</f>
        <v>6.827816355021703</v>
      </c>
      <c r="Q46" s="475">
        <f>$O$42</f>
        <v>6.827816355021703</v>
      </c>
      <c r="R46" s="408">
        <f>$O$42</f>
        <v>6.827816355021703</v>
      </c>
      <c r="S46" s="475">
        <f>$O$42</f>
        <v>6.827816355021703</v>
      </c>
      <c r="T46" s="476">
        <f>$O$42</f>
        <v>6.827816355021703</v>
      </c>
      <c r="U46" s="477"/>
      <c r="V46" s="477"/>
      <c r="W46" s="478"/>
      <c r="X46" s="469"/>
    </row>
    <row r="47" spans="1:32" ht="15.75" thickBot="1">
      <c r="C47" s="432"/>
      <c r="D47" s="432"/>
      <c r="E47" s="432"/>
      <c r="F47" s="432"/>
      <c r="G47" s="432"/>
      <c r="H47" s="432"/>
      <c r="I47" s="432"/>
      <c r="J47" s="432"/>
      <c r="K47" s="235"/>
      <c r="L47" s="470">
        <f>CRCP_y3</f>
        <v>2015</v>
      </c>
      <c r="M47" s="471"/>
      <c r="N47" s="472"/>
      <c r="O47" s="477"/>
      <c r="P47" s="473"/>
      <c r="Q47" s="479">
        <f>$P$42</f>
        <v>2.792206782603003</v>
      </c>
      <c r="R47" s="408">
        <f>$P$42</f>
        <v>2.792206782603003</v>
      </c>
      <c r="S47" s="475">
        <f>$P$42</f>
        <v>2.792206782603003</v>
      </c>
      <c r="T47" s="408">
        <f>$P$42</f>
        <v>2.792206782603003</v>
      </c>
      <c r="U47" s="466">
        <f>$P$42</f>
        <v>2.792206782603003</v>
      </c>
      <c r="V47" s="477"/>
      <c r="W47" s="478"/>
      <c r="X47" s="469"/>
    </row>
    <row r="48" spans="1:32" ht="15.75" thickBot="1">
      <c r="C48" s="432"/>
      <c r="D48" s="432"/>
      <c r="E48" s="432"/>
      <c r="F48" s="432"/>
      <c r="G48" s="432"/>
      <c r="H48" s="432"/>
      <c r="I48" s="432"/>
      <c r="J48" s="432"/>
      <c r="K48" s="235"/>
      <c r="L48" s="470">
        <f>CRCP_y4</f>
        <v>2016</v>
      </c>
      <c r="M48" s="471"/>
      <c r="N48" s="472"/>
      <c r="O48" s="477"/>
      <c r="P48" s="477"/>
      <c r="Q48" s="473"/>
      <c r="R48" s="474">
        <f>$Q$42</f>
        <v>-3.2163508188746732</v>
      </c>
      <c r="S48" s="408">
        <f>$Q$42</f>
        <v>-3.2163508188746732</v>
      </c>
      <c r="T48" s="418">
        <f>$Q$42</f>
        <v>-3.2163508188746732</v>
      </c>
      <c r="U48" s="475">
        <f>$Q$42</f>
        <v>-3.2163508188746732</v>
      </c>
      <c r="V48" s="476">
        <f>$Q$42</f>
        <v>-3.2163508188746732</v>
      </c>
      <c r="W48" s="480"/>
      <c r="X48" s="469"/>
    </row>
    <row r="49" spans="1:34" ht="15.75" thickBot="1">
      <c r="C49" s="481"/>
      <c r="D49" s="481"/>
      <c r="E49" s="481"/>
      <c r="F49" s="481"/>
      <c r="G49" s="482"/>
      <c r="H49" s="482"/>
      <c r="I49" s="482"/>
      <c r="J49" s="482"/>
      <c r="K49" s="235"/>
      <c r="L49" s="470">
        <f>CRCP_y5</f>
        <v>2017</v>
      </c>
      <c r="M49" s="471"/>
      <c r="N49" s="483"/>
      <c r="O49" s="484"/>
      <c r="P49" s="484"/>
      <c r="Q49" s="484"/>
      <c r="R49" s="485"/>
      <c r="S49" s="479">
        <f>+$R$42</f>
        <v>0</v>
      </c>
      <c r="T49" s="486">
        <f>+$R$42</f>
        <v>0</v>
      </c>
      <c r="U49" s="487">
        <f>+$R$42</f>
        <v>0</v>
      </c>
      <c r="V49" s="488">
        <f>+$R$42</f>
        <v>0</v>
      </c>
      <c r="W49" s="489">
        <f>+$R$42</f>
        <v>0</v>
      </c>
      <c r="X49" s="490"/>
    </row>
    <row r="50" spans="1:34" ht="15.75" customHeight="1" thickBot="1">
      <c r="C50" s="481"/>
      <c r="D50" s="481"/>
      <c r="E50" s="481"/>
      <c r="F50" s="481"/>
      <c r="G50" s="482"/>
      <c r="H50" s="482"/>
      <c r="I50" s="482"/>
      <c r="J50" s="482"/>
      <c r="K50" s="235"/>
      <c r="L50" s="491" t="s">
        <v>174</v>
      </c>
      <c r="M50" s="492"/>
      <c r="N50" s="492"/>
      <c r="O50" s="493"/>
      <c r="P50" s="493"/>
      <c r="Q50" s="493"/>
      <c r="R50" s="494"/>
      <c r="S50" s="495">
        <f>+SUM(S45:S49)</f>
        <v>0.93807304258787383</v>
      </c>
      <c r="T50" s="496">
        <f>+SUM(T45:T49)</f>
        <v>6.4036723187500328</v>
      </c>
      <c r="U50" s="497">
        <f>+SUM(U45:U49)</f>
        <v>-0.42414403627167019</v>
      </c>
      <c r="V50" s="498">
        <f>+SUM(V45:V49)</f>
        <v>-3.2163508188746732</v>
      </c>
      <c r="W50" s="499">
        <f>+SUM(W45:W49)</f>
        <v>0</v>
      </c>
      <c r="X50" s="500">
        <f>+SUM(S50:W50)</f>
        <v>3.7012505061915633</v>
      </c>
    </row>
    <row r="51" spans="1:34" ht="15.75" thickBot="1">
      <c r="C51" s="481"/>
      <c r="D51" s="481"/>
      <c r="E51" s="481"/>
      <c r="F51" s="481"/>
      <c r="G51" s="482"/>
      <c r="H51" s="482"/>
      <c r="I51" s="482"/>
      <c r="J51" s="482"/>
      <c r="K51" s="235"/>
      <c r="L51" s="501"/>
      <c r="M51" s="501"/>
      <c r="N51" s="501"/>
      <c r="O51" s="501"/>
      <c r="P51" s="501"/>
      <c r="Q51" s="501"/>
      <c r="R51" s="501"/>
      <c r="S51" s="502"/>
      <c r="T51" s="502"/>
      <c r="U51" s="502"/>
      <c r="V51" s="502"/>
      <c r="W51" s="502"/>
      <c r="X51" s="412"/>
    </row>
    <row r="52" spans="1:34" ht="15.75" thickBot="1">
      <c r="C52" s="481"/>
      <c r="D52" s="481"/>
      <c r="E52" s="481"/>
      <c r="F52" s="481"/>
      <c r="G52" s="481"/>
      <c r="H52" s="481"/>
      <c r="I52" s="481"/>
      <c r="J52" s="481"/>
      <c r="K52" s="235"/>
      <c r="L52" s="503" t="s">
        <v>175</v>
      </c>
      <c r="M52" s="504"/>
      <c r="N52" s="504"/>
      <c r="O52" s="505"/>
      <c r="P52" s="505"/>
      <c r="Q52" s="505"/>
      <c r="R52" s="506"/>
      <c r="S52" s="507">
        <f>S50</f>
        <v>0.93807304258787383</v>
      </c>
      <c r="T52" s="508">
        <f>T50</f>
        <v>6.4036723187500328</v>
      </c>
      <c r="U52" s="508">
        <f>U50</f>
        <v>-0.42414403627167019</v>
      </c>
      <c r="V52" s="508">
        <f>V50</f>
        <v>-3.2163508188746732</v>
      </c>
      <c r="W52" s="508">
        <f>W50</f>
        <v>0</v>
      </c>
      <c r="X52" s="509">
        <f>+SUM(S52:W52)</f>
        <v>3.7012505061915633</v>
      </c>
    </row>
    <row r="53" spans="1:34" ht="15.75" thickBot="1">
      <c r="C53" s="510"/>
      <c r="D53" s="510"/>
      <c r="E53" s="510"/>
      <c r="F53" s="510"/>
      <c r="G53" s="510"/>
      <c r="H53" s="510"/>
      <c r="I53" s="510"/>
      <c r="J53" s="510"/>
      <c r="K53" s="235"/>
      <c r="L53" s="511"/>
      <c r="M53" s="511"/>
      <c r="N53" s="511"/>
      <c r="O53" s="511"/>
      <c r="P53" s="511"/>
      <c r="Q53" s="512"/>
      <c r="R53" s="511"/>
      <c r="S53" s="511"/>
      <c r="T53" s="511"/>
      <c r="U53" s="512"/>
      <c r="V53" s="512"/>
      <c r="W53" s="512"/>
      <c r="X53" s="513"/>
    </row>
    <row r="54" spans="1:34" s="521" customFormat="1" ht="33" customHeight="1" thickBot="1">
      <c r="A54" s="514"/>
      <c r="B54" s="515"/>
      <c r="C54" s="292" t="s">
        <v>176</v>
      </c>
      <c r="D54" s="516"/>
      <c r="E54" s="516"/>
      <c r="F54" s="516"/>
      <c r="G54" s="516"/>
      <c r="H54" s="516"/>
      <c r="I54" s="517"/>
      <c r="J54" s="235"/>
      <c r="K54" s="235"/>
      <c r="L54" s="518"/>
      <c r="M54" s="518"/>
      <c r="N54" s="518"/>
      <c r="O54" s="518"/>
      <c r="P54" s="518"/>
      <c r="Q54" s="519"/>
      <c r="R54" s="519" t="s">
        <v>177</v>
      </c>
      <c r="S54" s="519"/>
      <c r="T54" s="519"/>
      <c r="U54" s="519"/>
      <c r="V54" s="519"/>
      <c r="W54" s="519"/>
      <c r="X54" s="519"/>
      <c r="Y54" s="235"/>
      <c r="Z54" s="235"/>
      <c r="AA54" s="235"/>
      <c r="AB54" s="235"/>
      <c r="AC54" s="235"/>
      <c r="AD54" s="235"/>
      <c r="AE54" s="235"/>
      <c r="AF54" s="235"/>
      <c r="AG54" s="235"/>
      <c r="AH54" s="520"/>
    </row>
    <row r="55" spans="1:34" s="230" customFormat="1" ht="18" customHeight="1">
      <c r="A55" s="255"/>
      <c r="B55" s="255"/>
      <c r="C55" s="303"/>
      <c r="D55" s="522" t="s">
        <v>146</v>
      </c>
      <c r="E55" s="523"/>
      <c r="F55" s="523"/>
      <c r="G55" s="523"/>
      <c r="H55" s="524"/>
      <c r="I55" s="525"/>
      <c r="J55" s="526"/>
      <c r="K55" s="527"/>
      <c r="L55" s="527"/>
      <c r="M55" s="526"/>
      <c r="N55" s="526"/>
      <c r="O55" s="526"/>
      <c r="P55" s="528"/>
      <c r="Q55" s="528"/>
      <c r="R55" s="529"/>
      <c r="S55" s="529"/>
      <c r="T55" s="529"/>
      <c r="U55" s="529"/>
      <c r="V55" s="529"/>
      <c r="W55" s="529"/>
      <c r="X55" s="235"/>
      <c r="Y55" s="235"/>
      <c r="Z55" s="235"/>
      <c r="AA55" s="235"/>
      <c r="AB55" s="235"/>
      <c r="AC55" s="235"/>
      <c r="AD55" s="235"/>
    </row>
    <row r="56" spans="1:34" s="230" customFormat="1" ht="18" customHeight="1" thickBot="1">
      <c r="A56" s="530"/>
      <c r="B56" s="530"/>
      <c r="C56" s="303"/>
      <c r="D56" s="531" t="str">
        <f>CONCATENATE("$m, real ", dms_DollarReal)</f>
        <v>$m, real December 2017</v>
      </c>
      <c r="E56" s="532"/>
      <c r="F56" s="532"/>
      <c r="G56" s="532"/>
      <c r="H56" s="533"/>
      <c r="I56" s="534"/>
      <c r="J56" s="535"/>
      <c r="K56" s="526"/>
      <c r="L56" s="526"/>
      <c r="M56" s="535"/>
      <c r="N56" s="535"/>
      <c r="O56" s="535"/>
      <c r="P56" s="528"/>
      <c r="Q56" s="528"/>
      <c r="R56" s="529"/>
      <c r="S56" s="529"/>
      <c r="T56" s="529"/>
      <c r="U56" s="529"/>
      <c r="V56" s="529"/>
      <c r="W56" s="529"/>
      <c r="X56" s="235"/>
      <c r="Y56" s="235"/>
      <c r="Z56" s="235"/>
      <c r="AA56" s="235"/>
      <c r="AB56" s="235"/>
      <c r="AC56" s="235"/>
      <c r="AD56" s="235"/>
    </row>
    <row r="57" spans="1:34" s="230" customFormat="1" ht="15.75" thickBot="1">
      <c r="A57" s="255"/>
      <c r="B57" s="255"/>
      <c r="C57" s="303"/>
      <c r="D57" s="536" t="str">
        <f t="array" ref="D57:H57">FRCP</f>
        <v>2018</v>
      </c>
      <c r="E57" s="537">
        <v>2019</v>
      </c>
      <c r="F57" s="537">
        <v>2020</v>
      </c>
      <c r="G57" s="537">
        <v>2021</v>
      </c>
      <c r="H57" s="538">
        <v>2022</v>
      </c>
      <c r="I57" s="534" t="s">
        <v>178</v>
      </c>
      <c r="J57" s="535"/>
      <c r="K57" s="526"/>
      <c r="L57" s="526"/>
      <c r="M57" s="535"/>
      <c r="N57" s="535"/>
      <c r="O57" s="535"/>
      <c r="P57" s="528"/>
      <c r="Q57" s="528"/>
      <c r="R57" s="529"/>
      <c r="S57" s="529"/>
      <c r="T57" s="529"/>
      <c r="U57" s="529"/>
      <c r="V57" s="529"/>
      <c r="W57" s="529"/>
      <c r="X57" s="235"/>
      <c r="Y57" s="235"/>
      <c r="Z57" s="235"/>
      <c r="AA57" s="235"/>
      <c r="AB57" s="235"/>
      <c r="AC57" s="235"/>
      <c r="AD57" s="235"/>
    </row>
    <row r="58" spans="1:34">
      <c r="A58" s="255" t="s">
        <v>179</v>
      </c>
      <c r="C58" s="539" t="s">
        <v>180</v>
      </c>
      <c r="D58" s="540"/>
      <c r="E58" s="540"/>
      <c r="F58" s="540"/>
      <c r="G58" s="540"/>
      <c r="H58" s="540"/>
      <c r="I58" s="541">
        <f>+SUM(D58:H58)</f>
        <v>0</v>
      </c>
      <c r="J58" s="235"/>
      <c r="K58" s="542"/>
      <c r="L58" s="542"/>
      <c r="M58" s="511"/>
      <c r="N58" s="511"/>
      <c r="O58" s="511"/>
      <c r="P58" s="542"/>
      <c r="Q58" s="542"/>
      <c r="R58" s="542"/>
      <c r="S58" s="513"/>
      <c r="T58" s="513"/>
      <c r="U58" s="510"/>
      <c r="V58" s="510"/>
      <c r="W58" s="510"/>
      <c r="X58" s="235"/>
      <c r="AG58" s="266"/>
    </row>
    <row r="59" spans="1:34">
      <c r="C59" s="543" t="s">
        <v>181</v>
      </c>
      <c r="D59" s="544"/>
      <c r="E59" s="544"/>
      <c r="F59" s="544"/>
      <c r="G59" s="544"/>
      <c r="H59" s="544"/>
      <c r="I59" s="545"/>
      <c r="J59" s="235"/>
      <c r="K59" s="546"/>
      <c r="L59" s="546"/>
      <c r="M59" s="511"/>
      <c r="N59" s="511"/>
      <c r="O59" s="511"/>
      <c r="P59" s="546"/>
      <c r="Q59" s="546"/>
      <c r="R59" s="546"/>
      <c r="S59" s="547"/>
      <c r="T59" s="513"/>
      <c r="U59" s="510"/>
      <c r="V59" s="510"/>
      <c r="W59" s="510"/>
      <c r="X59" s="235"/>
      <c r="AG59" s="266"/>
    </row>
    <row r="60" spans="1:34">
      <c r="A60" s="255" t="s">
        <v>182</v>
      </c>
      <c r="C60" s="548" t="s">
        <v>183</v>
      </c>
      <c r="D60" s="549"/>
      <c r="E60" s="549"/>
      <c r="F60" s="549"/>
      <c r="G60" s="549"/>
      <c r="H60" s="549"/>
      <c r="I60" s="550">
        <f t="shared" ref="I60:I69" si="14">+SUM(D60:H60)</f>
        <v>0</v>
      </c>
      <c r="J60" s="235"/>
      <c r="K60" s="511"/>
      <c r="L60" s="511"/>
      <c r="M60" s="511"/>
      <c r="N60" s="511"/>
      <c r="O60" s="511"/>
      <c r="P60" s="511"/>
      <c r="Q60" s="511"/>
      <c r="R60" s="511"/>
      <c r="S60" s="513"/>
      <c r="T60" s="547"/>
      <c r="U60" s="510"/>
      <c r="V60" s="510"/>
      <c r="W60" s="510"/>
      <c r="X60" s="235"/>
      <c r="AG60" s="266"/>
    </row>
    <row r="61" spans="1:34">
      <c r="A61" s="255" t="s">
        <v>184</v>
      </c>
      <c r="C61" s="551" t="s">
        <v>185</v>
      </c>
      <c r="D61" s="549"/>
      <c r="E61" s="549"/>
      <c r="F61" s="549"/>
      <c r="G61" s="549"/>
      <c r="H61" s="549"/>
      <c r="I61" s="550">
        <f t="shared" si="14"/>
        <v>0</v>
      </c>
      <c r="J61" s="235"/>
      <c r="K61" s="511"/>
      <c r="L61" s="511"/>
      <c r="P61" s="511"/>
      <c r="Q61" s="511"/>
      <c r="R61" s="511"/>
      <c r="S61" s="513"/>
      <c r="T61" s="513"/>
      <c r="U61" s="510"/>
      <c r="V61" s="510"/>
      <c r="W61" s="510"/>
      <c r="X61" s="235"/>
      <c r="AG61" s="266"/>
    </row>
    <row r="62" spans="1:34">
      <c r="A62" s="255" t="s">
        <v>186</v>
      </c>
      <c r="C62" s="551" t="s">
        <v>185</v>
      </c>
      <c r="D62" s="549"/>
      <c r="E62" s="549"/>
      <c r="F62" s="549"/>
      <c r="G62" s="549"/>
      <c r="H62" s="549"/>
      <c r="I62" s="550">
        <f t="shared" si="14"/>
        <v>0</v>
      </c>
      <c r="J62" s="235"/>
      <c r="K62" s="511"/>
      <c r="L62" s="511"/>
      <c r="P62" s="511"/>
      <c r="Q62" s="511"/>
      <c r="R62" s="511"/>
      <c r="S62" s="513"/>
      <c r="T62" s="513"/>
      <c r="U62" s="510"/>
      <c r="V62" s="510"/>
      <c r="W62" s="510"/>
      <c r="X62" s="235"/>
      <c r="AG62" s="266"/>
    </row>
    <row r="63" spans="1:34">
      <c r="A63" s="255" t="s">
        <v>187</v>
      </c>
      <c r="C63" s="551" t="s">
        <v>185</v>
      </c>
      <c r="D63" s="549"/>
      <c r="E63" s="549"/>
      <c r="F63" s="549"/>
      <c r="G63" s="549"/>
      <c r="H63" s="549"/>
      <c r="I63" s="550">
        <f t="shared" si="14"/>
        <v>0</v>
      </c>
      <c r="J63" s="235"/>
      <c r="T63" s="513"/>
      <c r="U63" s="510"/>
      <c r="V63" s="510"/>
      <c r="W63" s="510"/>
      <c r="X63" s="235"/>
      <c r="AG63" s="266"/>
    </row>
    <row r="64" spans="1:34">
      <c r="A64" s="255" t="s">
        <v>188</v>
      </c>
      <c r="C64" s="551" t="s">
        <v>185</v>
      </c>
      <c r="D64" s="549"/>
      <c r="E64" s="549"/>
      <c r="F64" s="549"/>
      <c r="G64" s="549"/>
      <c r="H64" s="549"/>
      <c r="I64" s="550">
        <f t="shared" si="14"/>
        <v>0</v>
      </c>
      <c r="J64" s="235"/>
      <c r="X64" s="235"/>
      <c r="AG64" s="266"/>
    </row>
    <row r="65" spans="1:33">
      <c r="A65" s="255" t="s">
        <v>189</v>
      </c>
      <c r="C65" s="551" t="s">
        <v>185</v>
      </c>
      <c r="D65" s="549"/>
      <c r="E65" s="549"/>
      <c r="F65" s="549"/>
      <c r="G65" s="549"/>
      <c r="H65" s="549"/>
      <c r="I65" s="550">
        <f t="shared" si="14"/>
        <v>0</v>
      </c>
      <c r="J65" s="235"/>
      <c r="X65" s="235"/>
      <c r="AG65" s="266"/>
    </row>
    <row r="66" spans="1:33">
      <c r="A66" s="255" t="s">
        <v>190</v>
      </c>
      <c r="C66" s="551" t="s">
        <v>185</v>
      </c>
      <c r="D66" s="549"/>
      <c r="E66" s="549"/>
      <c r="F66" s="549"/>
      <c r="G66" s="549"/>
      <c r="H66" s="549"/>
      <c r="I66" s="550">
        <f t="shared" si="14"/>
        <v>0</v>
      </c>
      <c r="J66" s="235"/>
      <c r="X66" s="235"/>
      <c r="AG66" s="266"/>
    </row>
    <row r="67" spans="1:33">
      <c r="A67" s="255" t="s">
        <v>191</v>
      </c>
      <c r="C67" s="551" t="s">
        <v>185</v>
      </c>
      <c r="D67" s="549"/>
      <c r="E67" s="549"/>
      <c r="F67" s="549"/>
      <c r="G67" s="549"/>
      <c r="H67" s="549"/>
      <c r="I67" s="550">
        <f t="shared" si="14"/>
        <v>0</v>
      </c>
      <c r="J67" s="235"/>
      <c r="X67" s="235"/>
      <c r="AG67" s="266"/>
    </row>
    <row r="68" spans="1:33">
      <c r="A68" s="255" t="s">
        <v>192</v>
      </c>
      <c r="C68" s="551" t="s">
        <v>185</v>
      </c>
      <c r="D68" s="549"/>
      <c r="E68" s="549"/>
      <c r="F68" s="549"/>
      <c r="G68" s="549"/>
      <c r="H68" s="549"/>
      <c r="I68" s="550">
        <f t="shared" si="14"/>
        <v>0</v>
      </c>
      <c r="J68" s="235"/>
      <c r="X68" s="235"/>
      <c r="AG68" s="266"/>
    </row>
    <row r="69" spans="1:33" ht="15.75" thickBot="1">
      <c r="A69" s="255" t="s">
        <v>193</v>
      </c>
      <c r="C69" s="552" t="s">
        <v>185</v>
      </c>
      <c r="D69" s="549"/>
      <c r="E69" s="549"/>
      <c r="F69" s="549"/>
      <c r="G69" s="549"/>
      <c r="H69" s="549"/>
      <c r="I69" s="550">
        <f t="shared" si="14"/>
        <v>0</v>
      </c>
      <c r="J69" s="235"/>
      <c r="X69" s="235"/>
      <c r="AG69" s="266"/>
    </row>
    <row r="70" spans="1:33" ht="15.75" thickBot="1">
      <c r="A70" s="255" t="s">
        <v>194</v>
      </c>
      <c r="C70" s="553" t="s">
        <v>195</v>
      </c>
      <c r="D70" s="554">
        <f t="shared" ref="D70:I70" si="15">+D58-SUM(D60:D69)</f>
        <v>0</v>
      </c>
      <c r="E70" s="554">
        <f t="shared" si="15"/>
        <v>0</v>
      </c>
      <c r="F70" s="554">
        <f t="shared" si="15"/>
        <v>0</v>
      </c>
      <c r="G70" s="554">
        <f t="shared" si="15"/>
        <v>0</v>
      </c>
      <c r="H70" s="554">
        <f t="shared" si="15"/>
        <v>0</v>
      </c>
      <c r="I70" s="555">
        <f t="shared" si="15"/>
        <v>0</v>
      </c>
      <c r="J70" s="235"/>
      <c r="X70" s="235"/>
      <c r="AG70" s="266"/>
    </row>
    <row r="71" spans="1:33">
      <c r="X71" s="235"/>
      <c r="AG71" s="266"/>
    </row>
    <row r="72" spans="1:33">
      <c r="X72" s="235"/>
      <c r="AG72" s="266"/>
    </row>
  </sheetData>
  <mergeCells count="29">
    <mergeCell ref="L46:M46"/>
    <mergeCell ref="L47:M47"/>
    <mergeCell ref="L48:M48"/>
    <mergeCell ref="L49:M49"/>
    <mergeCell ref="D55:H55"/>
    <mergeCell ref="D56:H56"/>
    <mergeCell ref="D28:E28"/>
    <mergeCell ref="F28:J28"/>
    <mergeCell ref="L28:M28"/>
    <mergeCell ref="N28:R28"/>
    <mergeCell ref="N44:W44"/>
    <mergeCell ref="L45:M45"/>
    <mergeCell ref="S13:W13"/>
    <mergeCell ref="D14:E14"/>
    <mergeCell ref="F14:J14"/>
    <mergeCell ref="L14:M14"/>
    <mergeCell ref="N14:R14"/>
    <mergeCell ref="D27:E27"/>
    <mergeCell ref="F27:J27"/>
    <mergeCell ref="L27:M27"/>
    <mergeCell ref="N27:R27"/>
    <mergeCell ref="D2:H2"/>
    <mergeCell ref="I2:J2"/>
    <mergeCell ref="L2:P2"/>
    <mergeCell ref="Q2:R2"/>
    <mergeCell ref="D13:E13"/>
    <mergeCell ref="F13:J13"/>
    <mergeCell ref="L13:M13"/>
    <mergeCell ref="N13:R13"/>
  </mergeCells>
  <dataValidations count="5">
    <dataValidation type="custom" allowBlank="1" showInputMessage="1" showErrorMessage="1" error="Must be a number" promptTitle="Excluded costs" prompt="Enter value in $million." sqref="D60:H69">
      <formula1>ISNUMBER(D60)</formula1>
    </dataValidation>
    <dataValidation type="textLength" operator="lessThanOrEqual" allowBlank="1" showInputMessage="1" showErrorMessage="1" prompt="Enter category proposed for exclusion." sqref="C61:C69">
      <formula1>150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F30:I30">
      <formula1>ISNUMBER(F30)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F16:K16">
      <formula1>ISNUMBER(F16)</formula1>
    </dataValidation>
    <dataValidation type="custom" allowBlank="1" showInputMessage="1" showErrorMessage="1" error="Must be a number" prompt="Enter value" sqref="F18:K23">
      <formula1>ISNUMBER(F18)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L88"/>
  <sheetViews>
    <sheetView showGridLines="0" topLeftCell="A43" workbookViewId="0">
      <selection activeCell="M87" sqref="M87"/>
    </sheetView>
  </sheetViews>
  <sheetFormatPr defaultColWidth="0" defaultRowHeight="11.25" outlineLevelRow="1"/>
  <cols>
    <col min="1" max="2" width="1.28515625" style="81" customWidth="1"/>
    <col min="3" max="3" width="36" style="81" customWidth="1"/>
    <col min="4" max="4" width="23.7109375" style="82" customWidth="1"/>
    <col min="5" max="5" width="13.5703125" style="82" customWidth="1"/>
    <col min="6" max="6" width="9.140625" style="82" customWidth="1"/>
    <col min="7" max="7" width="20.7109375" style="82" customWidth="1"/>
    <col min="8" max="19" width="9.28515625" style="81" customWidth="1"/>
    <col min="20" max="20" width="10.7109375" style="81" customWidth="1"/>
    <col min="21" max="21" width="9.28515625" style="81" customWidth="1"/>
    <col min="22" max="22" width="18.28515625" style="81" customWidth="1"/>
    <col min="23" max="23" width="21.140625" style="81" customWidth="1"/>
    <col min="24" max="36" width="9" style="81" customWidth="1"/>
    <col min="37" max="38" width="0" style="81" hidden="1" customWidth="1"/>
    <col min="39" max="16384" width="9" style="81" hidden="1"/>
  </cols>
  <sheetData>
    <row r="1" spans="2:26" s="61" customFormat="1" ht="15.75">
      <c r="C1" s="222" t="s">
        <v>60</v>
      </c>
      <c r="D1" s="222"/>
      <c r="E1" s="222"/>
      <c r="F1" s="62"/>
      <c r="G1" s="62"/>
      <c r="J1" s="63" t="s">
        <v>26</v>
      </c>
      <c r="K1" s="64" t="s">
        <v>27</v>
      </c>
      <c r="L1" s="65" t="s">
        <v>28</v>
      </c>
      <c r="M1" s="66" t="s">
        <v>29</v>
      </c>
    </row>
    <row r="2" spans="2:26" s="67" customFormat="1" ht="13.5" thickBot="1">
      <c r="C2" s="223" t="s">
        <v>51</v>
      </c>
      <c r="D2" s="223"/>
      <c r="E2" s="223"/>
      <c r="F2" s="68"/>
      <c r="G2" s="68"/>
    </row>
    <row r="3" spans="2:26" s="69" customFormat="1" ht="12" thickBot="1">
      <c r="C3" s="70"/>
      <c r="D3" s="71"/>
      <c r="E3" s="71"/>
      <c r="F3" s="71"/>
      <c r="G3" s="71"/>
      <c r="H3" s="224" t="s">
        <v>30</v>
      </c>
      <c r="I3" s="224"/>
      <c r="J3" s="224"/>
      <c r="K3" s="72" t="s">
        <v>31</v>
      </c>
      <c r="L3" s="225" t="s">
        <v>32</v>
      </c>
      <c r="M3" s="225"/>
      <c r="N3" s="225"/>
      <c r="O3" s="225"/>
      <c r="P3" s="225"/>
      <c r="Q3" s="225"/>
      <c r="R3" s="73"/>
      <c r="S3" s="73"/>
      <c r="T3" s="73"/>
      <c r="U3" s="73"/>
      <c r="V3" s="73"/>
      <c r="W3" s="73"/>
      <c r="X3" s="73"/>
    </row>
    <row r="4" spans="2:26" s="69" customFormat="1">
      <c r="C4" s="70"/>
      <c r="D4" s="71" t="s">
        <v>18</v>
      </c>
      <c r="E4" s="71" t="s">
        <v>33</v>
      </c>
      <c r="F4" s="71" t="s">
        <v>34</v>
      </c>
      <c r="G4" s="74" t="s">
        <v>59</v>
      </c>
      <c r="H4" s="71">
        <f t="shared" ref="H4:I4" si="0">I4-1</f>
        <v>2013</v>
      </c>
      <c r="I4" s="71">
        <f t="shared" si="0"/>
        <v>2014</v>
      </c>
      <c r="J4" s="71">
        <f>K4-1</f>
        <v>2015</v>
      </c>
      <c r="K4" s="71">
        <v>2016</v>
      </c>
      <c r="L4" s="71">
        <f t="shared" ref="L4" si="1">K4+1</f>
        <v>2017</v>
      </c>
      <c r="M4" s="71">
        <f t="shared" ref="M4" si="2">L4+1</f>
        <v>2018</v>
      </c>
      <c r="N4" s="71">
        <f t="shared" ref="N4" si="3">M4+1</f>
        <v>2019</v>
      </c>
      <c r="O4" s="71">
        <f t="shared" ref="O4" si="4">N4+1</f>
        <v>2020</v>
      </c>
      <c r="P4" s="71">
        <f t="shared" ref="P4:Q4" si="5">O4+1</f>
        <v>2021</v>
      </c>
      <c r="Q4" s="71">
        <f t="shared" si="5"/>
        <v>2022</v>
      </c>
      <c r="R4" s="73"/>
      <c r="S4" s="73"/>
      <c r="T4" s="73"/>
      <c r="U4" s="73"/>
      <c r="V4" s="73"/>
      <c r="W4" s="73"/>
      <c r="X4" s="73"/>
    </row>
    <row r="5" spans="2:26" s="75" customFormat="1" ht="3" customHeight="1">
      <c r="D5" s="76"/>
      <c r="E5" s="76"/>
      <c r="F5" s="76"/>
      <c r="G5" s="76"/>
    </row>
    <row r="6" spans="2:26" s="75" customFormat="1" ht="9" customHeight="1">
      <c r="D6" s="76"/>
      <c r="E6" s="76"/>
      <c r="F6" s="76"/>
      <c r="G6" s="76"/>
    </row>
    <row r="7" spans="2:26" s="75" customFormat="1" ht="3" customHeight="1">
      <c r="D7" s="76"/>
      <c r="E7" s="76"/>
      <c r="F7" s="76"/>
      <c r="G7" s="76"/>
    </row>
    <row r="8" spans="2:26" s="77" customFormat="1" ht="12">
      <c r="B8" s="78" t="s">
        <v>35</v>
      </c>
      <c r="C8" s="79"/>
      <c r="D8" s="80"/>
      <c r="E8" s="80"/>
      <c r="F8" s="80"/>
      <c r="G8" s="80"/>
      <c r="H8" s="80"/>
      <c r="I8" s="80"/>
      <c r="M8" s="79"/>
      <c r="N8" s="79"/>
      <c r="O8" s="79"/>
      <c r="P8" s="79"/>
      <c r="Q8" s="79"/>
    </row>
    <row r="9" spans="2:26" outlineLevel="1"/>
    <row r="10" spans="2:26" outlineLevel="1">
      <c r="K10" s="83" t="s">
        <v>52</v>
      </c>
      <c r="L10" s="84" t="s">
        <v>53</v>
      </c>
      <c r="M10" s="84" t="s">
        <v>53</v>
      </c>
      <c r="N10" s="84" t="s">
        <v>53</v>
      </c>
      <c r="O10" s="84" t="s">
        <v>53</v>
      </c>
      <c r="P10" s="84" t="s">
        <v>53</v>
      </c>
      <c r="Q10" s="84" t="s">
        <v>53</v>
      </c>
    </row>
    <row r="11" spans="2:26" outlineLevel="1">
      <c r="C11" s="85" t="s">
        <v>8</v>
      </c>
      <c r="D11" s="86" t="s">
        <v>18</v>
      </c>
      <c r="E11" s="86" t="s">
        <v>33</v>
      </c>
      <c r="F11" s="86" t="s">
        <v>34</v>
      </c>
      <c r="G11" s="87"/>
      <c r="H11" s="88"/>
      <c r="I11" s="88"/>
      <c r="J11" s="88"/>
      <c r="K11" s="89" t="str">
        <f>"CY"&amp;RIGHT(K$4,2)</f>
        <v>CY16</v>
      </c>
      <c r="L11" s="89" t="str">
        <f t="shared" ref="L11:Q11" si="6">"CY"&amp;RIGHT(L$4,2)</f>
        <v>CY17</v>
      </c>
      <c r="M11" s="89" t="str">
        <f t="shared" si="6"/>
        <v>CY18</v>
      </c>
      <c r="N11" s="89" t="str">
        <f t="shared" si="6"/>
        <v>CY19</v>
      </c>
      <c r="O11" s="89" t="str">
        <f t="shared" si="6"/>
        <v>CY20</v>
      </c>
      <c r="P11" s="89" t="str">
        <f t="shared" si="6"/>
        <v>CY21</v>
      </c>
      <c r="Q11" s="89" t="str">
        <f t="shared" si="6"/>
        <v>CY22</v>
      </c>
    </row>
    <row r="12" spans="2:26" outlineLevel="1">
      <c r="C12" s="90"/>
      <c r="H12" s="84"/>
      <c r="I12" s="84"/>
      <c r="J12" s="84"/>
    </row>
    <row r="13" spans="2:26" outlineLevel="1">
      <c r="C13" s="91" t="s">
        <v>36</v>
      </c>
      <c r="H13" s="84"/>
      <c r="I13" s="84"/>
      <c r="J13" s="84"/>
      <c r="V13" s="220"/>
      <c r="W13" s="220"/>
      <c r="X13" s="220"/>
      <c r="Y13" s="220"/>
      <c r="Z13" s="220"/>
    </row>
    <row r="14" spans="2:26" outlineLevel="1">
      <c r="C14" s="90" t="s">
        <v>37</v>
      </c>
      <c r="D14" s="82" t="s">
        <v>66</v>
      </c>
      <c r="E14" s="82" t="s">
        <v>55</v>
      </c>
      <c r="F14" s="82" t="s">
        <v>58</v>
      </c>
      <c r="H14" s="84"/>
      <c r="I14" s="84"/>
      <c r="J14" s="84"/>
      <c r="K14" s="93">
        <f>'Base Year - establishing'!G5</f>
        <v>78.069796211966818</v>
      </c>
      <c r="L14" s="83"/>
      <c r="M14" s="83"/>
      <c r="N14" s="83"/>
      <c r="O14" s="83"/>
      <c r="P14" s="83"/>
      <c r="Q14" s="83"/>
      <c r="V14" s="220"/>
      <c r="W14" s="220"/>
      <c r="X14" s="220"/>
      <c r="Y14" s="220"/>
      <c r="Z14" s="220"/>
    </row>
    <row r="15" spans="2:26" outlineLevel="1">
      <c r="C15" s="94" t="s">
        <v>63</v>
      </c>
      <c r="D15" s="82" t="s">
        <v>66</v>
      </c>
      <c r="E15" s="82" t="s">
        <v>55</v>
      </c>
      <c r="F15" s="82" t="s">
        <v>58</v>
      </c>
      <c r="H15" s="84"/>
      <c r="I15" s="84"/>
      <c r="J15" s="84"/>
      <c r="K15" s="93">
        <f>'Base Year - establishing'!G6</f>
        <v>-8.1533339999999992</v>
      </c>
      <c r="L15" s="84"/>
      <c r="M15" s="84"/>
      <c r="N15" s="84"/>
      <c r="O15" s="84"/>
      <c r="P15" s="84"/>
      <c r="Q15" s="84"/>
      <c r="S15" s="120"/>
      <c r="T15" s="120"/>
      <c r="V15" s="221"/>
      <c r="W15" s="220"/>
      <c r="X15" s="220"/>
      <c r="Y15" s="220"/>
      <c r="Z15" s="220"/>
    </row>
    <row r="16" spans="2:26" outlineLevel="1">
      <c r="C16" s="94" t="s">
        <v>64</v>
      </c>
      <c r="D16" s="82" t="s">
        <v>66</v>
      </c>
      <c r="E16" s="82" t="s">
        <v>55</v>
      </c>
      <c r="F16" s="82" t="s">
        <v>58</v>
      </c>
      <c r="H16" s="84"/>
      <c r="I16" s="84"/>
      <c r="J16" s="84"/>
      <c r="K16" s="93">
        <f>'Base Year - establishing'!G7</f>
        <v>0.28664400000000001</v>
      </c>
      <c r="L16" s="84"/>
      <c r="M16" s="84"/>
      <c r="N16" s="84"/>
      <c r="O16" s="84"/>
      <c r="P16" s="84"/>
      <c r="Q16" s="84"/>
      <c r="S16" s="120"/>
      <c r="T16" s="120"/>
      <c r="V16" s="221"/>
      <c r="W16" s="220"/>
      <c r="X16" s="220"/>
      <c r="Y16" s="220"/>
      <c r="Z16" s="220"/>
    </row>
    <row r="17" spans="3:26" outlineLevel="1">
      <c r="C17" s="94" t="s">
        <v>65</v>
      </c>
      <c r="D17" s="82" t="s">
        <v>66</v>
      </c>
      <c r="E17" s="82" t="s">
        <v>55</v>
      </c>
      <c r="F17" s="82" t="s">
        <v>58</v>
      </c>
      <c r="H17" s="84"/>
      <c r="I17" s="84"/>
      <c r="J17" s="84"/>
      <c r="K17" s="93">
        <f>'Base Year - establishing'!G8</f>
        <v>-8.4733332031249983E-2</v>
      </c>
      <c r="L17" s="84"/>
      <c r="M17" s="84"/>
      <c r="N17" s="84"/>
      <c r="O17" s="84"/>
      <c r="P17" s="84"/>
      <c r="Q17" s="84"/>
      <c r="V17" s="220"/>
      <c r="W17" s="220"/>
      <c r="X17" s="220"/>
      <c r="Y17" s="220"/>
      <c r="Z17" s="220"/>
    </row>
    <row r="18" spans="3:26" outlineLevel="1">
      <c r="C18" s="94" t="s">
        <v>85</v>
      </c>
      <c r="D18" s="82" t="s">
        <v>66</v>
      </c>
      <c r="E18" s="82" t="s">
        <v>55</v>
      </c>
      <c r="F18" s="82" t="s">
        <v>58</v>
      </c>
      <c r="H18" s="84"/>
      <c r="I18" s="84"/>
      <c r="J18" s="84"/>
      <c r="K18" s="93">
        <f>'Base Year - establishing'!G9</f>
        <v>-1.3839999999999999</v>
      </c>
      <c r="L18" s="84"/>
      <c r="M18" s="84"/>
      <c r="N18" s="84"/>
      <c r="O18" s="84"/>
      <c r="P18" s="84"/>
      <c r="Q18" s="84"/>
    </row>
    <row r="19" spans="3:26" outlineLevel="1">
      <c r="C19" s="94" t="s">
        <v>38</v>
      </c>
      <c r="D19" s="82" t="s">
        <v>66</v>
      </c>
      <c r="E19" s="82" t="s">
        <v>55</v>
      </c>
      <c r="F19" s="82" t="s">
        <v>58</v>
      </c>
      <c r="H19" s="84"/>
      <c r="I19" s="84"/>
      <c r="J19" s="84"/>
      <c r="K19" s="117"/>
      <c r="L19" s="84"/>
      <c r="M19" s="84"/>
      <c r="N19" s="84"/>
      <c r="O19" s="84"/>
      <c r="P19" s="84"/>
      <c r="Q19" s="84"/>
    </row>
    <row r="20" spans="3:26" outlineLevel="1">
      <c r="C20" s="94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3:26" outlineLevel="1">
      <c r="C21" s="91" t="s">
        <v>69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</row>
    <row r="22" spans="3:26" outlineLevel="1">
      <c r="C22" s="94" t="s">
        <v>84</v>
      </c>
      <c r="D22" s="82" t="s">
        <v>66</v>
      </c>
      <c r="E22" s="82" t="s">
        <v>54</v>
      </c>
      <c r="F22" s="82" t="s">
        <v>40</v>
      </c>
      <c r="H22" s="84"/>
      <c r="I22" s="84"/>
      <c r="J22" s="84"/>
      <c r="K22" s="116">
        <f>(1+K23)^0.5-1</f>
        <v>6.4591397568010134E-3</v>
      </c>
      <c r="M22" s="84"/>
      <c r="N22" s="84"/>
      <c r="O22" s="84"/>
      <c r="P22" s="84"/>
      <c r="Q22" s="84"/>
    </row>
    <row r="23" spans="3:26" outlineLevel="1">
      <c r="C23" s="94" t="s">
        <v>67</v>
      </c>
      <c r="D23" s="82" t="s">
        <v>66</v>
      </c>
      <c r="E23" s="82" t="s">
        <v>54</v>
      </c>
      <c r="F23" s="82" t="s">
        <v>40</v>
      </c>
      <c r="H23" s="84"/>
      <c r="I23" s="84"/>
      <c r="J23" s="84"/>
      <c r="K23" s="116">
        <f>'Economic Assumptions'!W6</f>
        <v>1.2959999999999999E-2</v>
      </c>
      <c r="M23" s="84"/>
      <c r="N23" s="84"/>
      <c r="O23" s="84"/>
      <c r="P23" s="84"/>
      <c r="Q23" s="84"/>
    </row>
    <row r="24" spans="3:26" outlineLevel="1">
      <c r="C24" s="9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3:26" outlineLevel="1">
      <c r="C25" s="94" t="s">
        <v>111</v>
      </c>
      <c r="D25" s="82" t="s">
        <v>66</v>
      </c>
      <c r="E25" s="82" t="s">
        <v>55</v>
      </c>
      <c r="F25" s="82" t="s">
        <v>68</v>
      </c>
      <c r="H25" s="84"/>
      <c r="I25" s="84"/>
      <c r="J25" s="84"/>
      <c r="L25" s="93">
        <f>'Base Year - establishing'!E19</f>
        <v>0.89986994583269797</v>
      </c>
      <c r="M25" s="84"/>
      <c r="N25" s="84"/>
      <c r="O25" s="84"/>
      <c r="P25" s="84"/>
      <c r="Q25" s="84"/>
    </row>
    <row r="26" spans="3:26" outlineLevel="1">
      <c r="C26" s="94"/>
      <c r="H26" s="84"/>
      <c r="I26" s="84"/>
      <c r="J26" s="84"/>
      <c r="K26" s="84"/>
      <c r="L26" s="84"/>
      <c r="M26" s="84"/>
      <c r="N26" s="84"/>
      <c r="O26" s="84"/>
      <c r="P26" s="84"/>
      <c r="Q26" s="84"/>
    </row>
    <row r="27" spans="3:26" outlineLevel="1">
      <c r="C27" s="91" t="s">
        <v>7</v>
      </c>
      <c r="H27" s="84"/>
      <c r="I27" s="84"/>
      <c r="J27" s="84"/>
      <c r="K27" s="84"/>
    </row>
    <row r="28" spans="3:26" outlineLevel="1">
      <c r="C28" s="94" t="s">
        <v>39</v>
      </c>
      <c r="D28" s="82" t="s">
        <v>66</v>
      </c>
      <c r="E28" s="82" t="s">
        <v>54</v>
      </c>
      <c r="F28" s="82" t="s">
        <v>40</v>
      </c>
      <c r="H28" s="84"/>
      <c r="I28" s="84"/>
      <c r="J28" s="84"/>
      <c r="K28" s="84"/>
      <c r="M28" s="96">
        <f>IF('[3]DMS input'!$C$102="AER",M60,M59)</f>
        <v>5.8899999999999994E-3</v>
      </c>
      <c r="N28" s="96">
        <f>IF('[3]DMS input'!$C$102="AER",N60,N59)</f>
        <v>5.2700000000000004E-3</v>
      </c>
      <c r="O28" s="96">
        <f>IF('[3]DMS input'!$C$102="AER",O60,O59)</f>
        <v>7.4400000000000004E-3</v>
      </c>
      <c r="P28" s="96">
        <f>IF('[3]DMS input'!$C$102="AER",P60,P59)</f>
        <v>1.085E-2</v>
      </c>
      <c r="Q28" s="96">
        <f>IF('[3]DMS input'!$C$102="AER",Q60,Q59)</f>
        <v>1.24E-2</v>
      </c>
      <c r="S28" s="208"/>
      <c r="T28" s="208"/>
      <c r="U28" s="208"/>
      <c r="V28" s="208"/>
      <c r="W28" s="208"/>
    </row>
    <row r="29" spans="3:26" outlineLevel="1">
      <c r="C29" s="94" t="s">
        <v>41</v>
      </c>
      <c r="D29" s="82" t="s">
        <v>66</v>
      </c>
      <c r="E29" s="82" t="s">
        <v>54</v>
      </c>
      <c r="F29" s="82" t="s">
        <v>40</v>
      </c>
      <c r="H29" s="84"/>
      <c r="I29" s="84"/>
      <c r="J29" s="84"/>
      <c r="K29" s="84"/>
      <c r="M29" s="116">
        <v>0</v>
      </c>
      <c r="N29" s="116">
        <v>0</v>
      </c>
      <c r="O29" s="116">
        <v>0</v>
      </c>
      <c r="P29" s="116">
        <v>0</v>
      </c>
      <c r="Q29" s="116">
        <v>0</v>
      </c>
    </row>
    <row r="30" spans="3:26" outlineLevel="1">
      <c r="C30" s="90" t="s">
        <v>42</v>
      </c>
      <c r="D30" s="82" t="s">
        <v>43</v>
      </c>
      <c r="E30" s="82" t="s">
        <v>54</v>
      </c>
      <c r="F30" s="82" t="s">
        <v>40</v>
      </c>
      <c r="H30" s="84"/>
      <c r="I30" s="84"/>
      <c r="J30" s="84"/>
      <c r="K30" s="84"/>
      <c r="M30" s="96">
        <f>IF('[3]DMS input'!$C$104="AER",#REF!,M79)</f>
        <v>6.5025449168956591E-3</v>
      </c>
      <c r="N30" s="96">
        <f>IF('[3]DMS input'!$C$104="AER",#REF!,N79)</f>
        <v>6.5479108054142376E-3</v>
      </c>
      <c r="O30" s="96">
        <f>IF('[3]DMS input'!$C$104="AER",#REF!,O79)</f>
        <v>6.5455621348116111E-3</v>
      </c>
      <c r="P30" s="96">
        <f>IF('[3]DMS input'!$C$104="AER",#REF!,P79)</f>
        <v>6.3851123448523065E-3</v>
      </c>
      <c r="Q30" s="96">
        <f>IF('[3]DMS input'!$C$104="AER",#REF!,Q79)</f>
        <v>6.4270783912110836E-3</v>
      </c>
      <c r="S30" s="208"/>
      <c r="T30" s="208"/>
      <c r="U30" s="208"/>
      <c r="V30" s="208"/>
      <c r="W30" s="208"/>
    </row>
    <row r="31" spans="3:26" outlineLevel="1">
      <c r="C31" s="94"/>
      <c r="H31" s="84"/>
      <c r="I31" s="84"/>
      <c r="J31" s="84"/>
      <c r="K31" s="84"/>
      <c r="M31" s="97"/>
      <c r="N31" s="97"/>
      <c r="O31" s="97"/>
      <c r="P31" s="97"/>
      <c r="Q31" s="97"/>
    </row>
    <row r="32" spans="3:26" outlineLevel="1">
      <c r="C32" s="90" t="s">
        <v>7</v>
      </c>
      <c r="D32" s="82" t="s">
        <v>44</v>
      </c>
      <c r="E32" s="82" t="s">
        <v>54</v>
      </c>
      <c r="F32" s="82" t="s">
        <v>40</v>
      </c>
      <c r="H32" s="84"/>
      <c r="I32" s="84"/>
      <c r="J32" s="84"/>
      <c r="K32" s="84"/>
      <c r="M32" s="98">
        <f>(1+M28)*(1+M30)*(1-M29)-1</f>
        <v>1.2430844906456073E-2</v>
      </c>
      <c r="N32" s="98">
        <f>(1+N28)*(1+N30)*(1-N29)-1</f>
        <v>1.1852418295358991E-2</v>
      </c>
      <c r="O32" s="98">
        <f>(1+O28)*(1+O30)*(1-O29)-1</f>
        <v>1.4034261117094493E-2</v>
      </c>
      <c r="P32" s="98">
        <f t="shared" ref="P32:Q32" si="7">(1+P28)*(1+P30)*(1-P29)-1</f>
        <v>1.7304390813793979E-2</v>
      </c>
      <c r="Q32" s="98">
        <f t="shared" si="7"/>
        <v>1.890677416326203E-2</v>
      </c>
    </row>
    <row r="33" spans="2:36" outlineLevel="1">
      <c r="C33" s="94"/>
      <c r="H33" s="84"/>
      <c r="I33" s="84"/>
      <c r="J33" s="84"/>
      <c r="K33" s="84"/>
      <c r="L33" s="97"/>
      <c r="M33" s="97"/>
      <c r="N33" s="97"/>
      <c r="O33" s="97"/>
      <c r="P33" s="97"/>
      <c r="Q33" s="97"/>
      <c r="R33" s="81">
        <v>372.4739796049671</v>
      </c>
    </row>
    <row r="34" spans="2:36" outlineLevel="1">
      <c r="C34" s="99" t="s">
        <v>45</v>
      </c>
      <c r="D34" s="100" t="s">
        <v>44</v>
      </c>
      <c r="E34" s="100" t="s">
        <v>55</v>
      </c>
      <c r="F34" s="100" t="s">
        <v>68</v>
      </c>
      <c r="H34" s="84"/>
      <c r="I34" s="84"/>
      <c r="J34" s="84"/>
      <c r="K34" s="101">
        <f>SUM(K14:K19)*(1+K22)*(1+K23)</f>
        <v>70.074889058357144</v>
      </c>
      <c r="L34" s="102">
        <f>K34+L25</f>
        <v>70.974759004189835</v>
      </c>
      <c r="M34" s="101">
        <f>L34*(1+M$32)</f>
        <v>71.857035225644012</v>
      </c>
      <c r="N34" s="101">
        <f>M34*(1+N$32)</f>
        <v>72.708714864602683</v>
      </c>
      <c r="O34" s="101">
        <f>N34*(1+O$32)</f>
        <v>73.729127954500882</v>
      </c>
      <c r="P34" s="101">
        <f>O34*(1+P$32)</f>
        <v>75.004965598985791</v>
      </c>
      <c r="Q34" s="101">
        <f>P34*(1+Q$32)</f>
        <v>76.423067544689047</v>
      </c>
      <c r="R34" s="81">
        <f>SUM(M34:Q34)</f>
        <v>369.72291118842242</v>
      </c>
      <c r="S34" s="120"/>
      <c r="T34" s="120"/>
      <c r="U34" s="120"/>
      <c r="V34" s="120"/>
    </row>
    <row r="35" spans="2:36" outlineLevel="1">
      <c r="H35" s="84"/>
      <c r="I35" s="84"/>
      <c r="J35" s="84"/>
      <c r="R35" s="219">
        <f>R33-R34</f>
        <v>2.7510684165446833</v>
      </c>
    </row>
    <row r="36" spans="2:36" outlineLevel="1">
      <c r="H36" s="84"/>
      <c r="I36" s="84"/>
      <c r="J36" s="84"/>
    </row>
    <row r="37" spans="2:36" outlineLevel="1">
      <c r="C37" s="85" t="s">
        <v>0</v>
      </c>
      <c r="D37" s="86" t="s">
        <v>18</v>
      </c>
      <c r="E37" s="86" t="s">
        <v>33</v>
      </c>
      <c r="F37" s="86" t="s">
        <v>34</v>
      </c>
      <c r="H37" s="88"/>
      <c r="I37" s="88"/>
      <c r="J37" s="88"/>
      <c r="K37" s="89" t="str">
        <f>"CY"&amp;RIGHT(K$4,2)</f>
        <v>CY16</v>
      </c>
      <c r="L37" s="89" t="str">
        <f t="shared" ref="L37:Q37" si="8">"CY"&amp;RIGHT(L$4,2)</f>
        <v>CY17</v>
      </c>
      <c r="M37" s="89" t="str">
        <f t="shared" si="8"/>
        <v>CY18</v>
      </c>
      <c r="N37" s="89" t="str">
        <f t="shared" si="8"/>
        <v>CY19</v>
      </c>
      <c r="O37" s="89" t="str">
        <f t="shared" si="8"/>
        <v>CY20</v>
      </c>
      <c r="P37" s="89" t="str">
        <f t="shared" si="8"/>
        <v>CY21</v>
      </c>
      <c r="Q37" s="89" t="str">
        <f t="shared" si="8"/>
        <v>CY22</v>
      </c>
    </row>
    <row r="38" spans="2:36" ht="15" outlineLevel="1">
      <c r="C38" s="90"/>
      <c r="G38" s="189" t="s">
        <v>112</v>
      </c>
      <c r="H38" s="84"/>
      <c r="I38" s="84"/>
      <c r="J38" s="84"/>
    </row>
    <row r="39" spans="2:36" outlineLevel="1">
      <c r="C39" s="104" t="s">
        <v>62</v>
      </c>
      <c r="D39" s="82" t="s">
        <v>66</v>
      </c>
      <c r="E39" s="82" t="s">
        <v>55</v>
      </c>
      <c r="F39" s="82" t="s">
        <v>68</v>
      </c>
      <c r="H39" s="84"/>
      <c r="I39" s="84"/>
      <c r="J39" s="84"/>
      <c r="K39" s="84"/>
      <c r="L39" s="84"/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S39" s="81" t="s">
        <v>80</v>
      </c>
      <c r="T39" s="121">
        <v>0</v>
      </c>
    </row>
    <row r="40" spans="2:36" outlineLevel="1">
      <c r="C40" s="104" t="s">
        <v>61</v>
      </c>
      <c r="D40" s="82" t="s">
        <v>66</v>
      </c>
      <c r="E40" s="82" t="s">
        <v>55</v>
      </c>
      <c r="F40" s="82" t="s">
        <v>68</v>
      </c>
      <c r="H40" s="84"/>
      <c r="I40" s="84"/>
      <c r="J40" s="84"/>
      <c r="K40" s="84"/>
      <c r="L40" s="84"/>
      <c r="M40" s="188">
        <v>0</v>
      </c>
      <c r="N40" s="188">
        <v>0</v>
      </c>
      <c r="O40" s="188">
        <v>0</v>
      </c>
      <c r="P40" s="188">
        <v>0</v>
      </c>
      <c r="Q40" s="188">
        <v>0</v>
      </c>
    </row>
    <row r="41" spans="2:36" outlineLevel="1">
      <c r="C41" s="104"/>
      <c r="D41" s="92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</row>
    <row r="42" spans="2:36" outlineLevel="1">
      <c r="C42" s="99" t="s">
        <v>70</v>
      </c>
      <c r="D42" s="100" t="s">
        <v>44</v>
      </c>
      <c r="E42" s="100" t="s">
        <v>55</v>
      </c>
      <c r="F42" s="100" t="s">
        <v>68</v>
      </c>
      <c r="H42" s="84"/>
      <c r="I42" s="84"/>
      <c r="J42" s="84"/>
      <c r="K42" s="84"/>
      <c r="L42" s="84"/>
      <c r="M42" s="101">
        <f t="shared" ref="M42:Q42" si="9">SUM(M39:M40)</f>
        <v>0</v>
      </c>
      <c r="N42" s="101">
        <f t="shared" si="9"/>
        <v>0</v>
      </c>
      <c r="O42" s="101">
        <f t="shared" si="9"/>
        <v>0</v>
      </c>
      <c r="P42" s="101">
        <f t="shared" si="9"/>
        <v>0</v>
      </c>
      <c r="Q42" s="101">
        <f t="shared" si="9"/>
        <v>0</v>
      </c>
    </row>
    <row r="43" spans="2:36" outlineLevel="1">
      <c r="C43" s="103"/>
      <c r="D43" s="105"/>
      <c r="E43" s="86"/>
      <c r="F43" s="86"/>
      <c r="H43" s="84"/>
      <c r="I43" s="84"/>
      <c r="J43" s="84"/>
      <c r="K43" s="84"/>
      <c r="L43" s="84"/>
      <c r="M43" s="106"/>
      <c r="N43" s="106"/>
      <c r="O43" s="106"/>
      <c r="P43" s="106"/>
      <c r="Q43" s="106"/>
      <c r="R43" s="84"/>
    </row>
    <row r="44" spans="2:36" outlineLevel="1">
      <c r="D44" s="107"/>
      <c r="E44" s="107"/>
      <c r="F44" s="107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pans="2:36" outlineLevel="1">
      <c r="C45" s="108" t="s">
        <v>46</v>
      </c>
      <c r="D45" s="100" t="s">
        <v>44</v>
      </c>
      <c r="E45" s="100" t="s">
        <v>55</v>
      </c>
      <c r="F45" s="100" t="s">
        <v>68</v>
      </c>
      <c r="H45" s="84"/>
      <c r="I45" s="84"/>
      <c r="J45" s="84"/>
      <c r="K45" s="101">
        <f>K34+K42</f>
        <v>70.074889058357144</v>
      </c>
      <c r="L45" s="102">
        <f t="shared" ref="L45:Q45" si="10">L34+L42</f>
        <v>70.974759004189835</v>
      </c>
      <c r="M45" s="101">
        <f>M34+M42</f>
        <v>71.857035225644012</v>
      </c>
      <c r="N45" s="101">
        <f t="shared" si="10"/>
        <v>72.708714864602683</v>
      </c>
      <c r="O45" s="101">
        <f t="shared" si="10"/>
        <v>73.729127954500882</v>
      </c>
      <c r="P45" s="101">
        <f>P34+P42</f>
        <v>75.004965598985791</v>
      </c>
      <c r="Q45" s="101">
        <f t="shared" si="10"/>
        <v>76.423067544689047</v>
      </c>
    </row>
    <row r="46" spans="2:36">
      <c r="H46" s="84"/>
      <c r="I46" s="84"/>
      <c r="J46" s="84"/>
      <c r="K46" s="84"/>
      <c r="L46" s="84"/>
      <c r="M46" s="84"/>
      <c r="N46" s="84"/>
      <c r="O46" s="84"/>
      <c r="P46" s="84"/>
      <c r="Q46" s="84"/>
    </row>
    <row r="47" spans="2:36" s="77" customFormat="1" ht="12">
      <c r="B47" s="78" t="s">
        <v>72</v>
      </c>
      <c r="C47" s="79"/>
      <c r="D47" s="80"/>
      <c r="E47" s="80"/>
      <c r="F47" s="109"/>
      <c r="G47" s="110"/>
      <c r="H47" s="80"/>
      <c r="I47" s="80"/>
      <c r="M47" s="79"/>
      <c r="N47" s="79"/>
      <c r="O47" s="79"/>
      <c r="P47" s="79"/>
      <c r="Q47" s="79"/>
    </row>
    <row r="48" spans="2:36" outlineLevel="1">
      <c r="H48" s="84"/>
      <c r="I48" s="84"/>
      <c r="J48" s="84"/>
      <c r="K48" s="84"/>
      <c r="L48" s="84"/>
      <c r="M48" s="84"/>
      <c r="N48" s="84"/>
      <c r="O48" s="84"/>
      <c r="P48" s="84"/>
      <c r="Q48" s="84"/>
    </row>
    <row r="49" spans="2:17" outlineLevel="1">
      <c r="C49" s="103" t="s">
        <v>39</v>
      </c>
      <c r="D49" s="86" t="s">
        <v>18</v>
      </c>
      <c r="E49" s="86" t="s">
        <v>33</v>
      </c>
      <c r="F49" s="86" t="s">
        <v>34</v>
      </c>
      <c r="H49" s="84"/>
      <c r="I49" s="84"/>
      <c r="J49" s="84"/>
      <c r="K49" s="89" t="str">
        <f>"CY"&amp;RIGHT(K$4,2)</f>
        <v>CY16</v>
      </c>
      <c r="L49" s="89" t="str">
        <f t="shared" ref="L49:Q49" si="11">"CY"&amp;RIGHT(L$4,2)</f>
        <v>CY17</v>
      </c>
      <c r="M49" s="89" t="str">
        <f t="shared" si="11"/>
        <v>CY18</v>
      </c>
      <c r="N49" s="89" t="str">
        <f t="shared" si="11"/>
        <v>CY19</v>
      </c>
      <c r="O49" s="89" t="str">
        <f t="shared" si="11"/>
        <v>CY20</v>
      </c>
      <c r="P49" s="89" t="str">
        <f t="shared" si="11"/>
        <v>CY21</v>
      </c>
      <c r="Q49" s="89" t="str">
        <f t="shared" si="11"/>
        <v>CY22</v>
      </c>
    </row>
    <row r="50" spans="2:17" outlineLevel="1">
      <c r="C50" s="103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2:17" outlineLevel="1">
      <c r="B51" s="103"/>
      <c r="C51" s="111" t="s">
        <v>48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</row>
    <row r="52" spans="2:17" outlineLevel="1">
      <c r="C52" s="94" t="s">
        <v>74</v>
      </c>
      <c r="D52" s="82" t="s">
        <v>66</v>
      </c>
      <c r="E52" s="82" t="s">
        <v>56</v>
      </c>
      <c r="F52" s="82" t="s">
        <v>40</v>
      </c>
      <c r="H52" s="84"/>
      <c r="I52" s="84"/>
      <c r="J52" s="84"/>
      <c r="K52" s="84"/>
      <c r="L52" s="84"/>
      <c r="M52" s="122">
        <f>'Rate of change'!D4</f>
        <v>9.4999999999999998E-3</v>
      </c>
      <c r="N52" s="122">
        <f>'Rate of change'!E4</f>
        <v>8.5000000000000006E-3</v>
      </c>
      <c r="O52" s="122">
        <f>'Rate of change'!F4</f>
        <v>1.2E-2</v>
      </c>
      <c r="P52" s="122">
        <f>'Rate of change'!G4</f>
        <v>1.7500000000000002E-2</v>
      </c>
      <c r="Q52" s="122">
        <f>'Rate of change'!H4</f>
        <v>0.02</v>
      </c>
    </row>
    <row r="53" spans="2:17" outlineLevel="1">
      <c r="C53" s="94" t="s">
        <v>75</v>
      </c>
      <c r="D53" s="82" t="s">
        <v>66</v>
      </c>
      <c r="E53" s="82" t="s">
        <v>56</v>
      </c>
      <c r="F53" s="82" t="s">
        <v>40</v>
      </c>
      <c r="H53" s="84"/>
      <c r="I53" s="84"/>
      <c r="J53" s="84"/>
      <c r="K53" s="84"/>
      <c r="L53" s="84"/>
      <c r="M53" s="123">
        <v>4.0141199352505454E-3</v>
      </c>
      <c r="N53" s="123">
        <v>3.7161988694249539E-3</v>
      </c>
      <c r="O53" s="123">
        <v>7.8500228561824374E-3</v>
      </c>
      <c r="P53" s="123">
        <v>9.5736854428500953E-3</v>
      </c>
      <c r="Q53" s="123">
        <v>1.0192912905840656E-2</v>
      </c>
    </row>
    <row r="54" spans="2:17" outlineLevel="1">
      <c r="H54" s="84"/>
      <c r="I54" s="84"/>
      <c r="J54" s="84"/>
      <c r="K54" s="84"/>
      <c r="L54" s="84"/>
    </row>
    <row r="55" spans="2:17" outlineLevel="1">
      <c r="C55" s="111" t="s">
        <v>6</v>
      </c>
      <c r="H55" s="84"/>
      <c r="I55" s="84"/>
      <c r="J55" s="84"/>
      <c r="K55" s="84"/>
      <c r="L55" s="83"/>
      <c r="M55" s="83"/>
      <c r="N55" s="83"/>
      <c r="O55" s="83"/>
      <c r="P55" s="83"/>
      <c r="Q55" s="83"/>
    </row>
    <row r="56" spans="2:17" outlineLevel="1">
      <c r="C56" s="94" t="s">
        <v>76</v>
      </c>
      <c r="D56" s="82" t="s">
        <v>66</v>
      </c>
      <c r="E56" s="82" t="s">
        <v>54</v>
      </c>
      <c r="F56" s="82" t="s">
        <v>40</v>
      </c>
      <c r="H56" s="84"/>
      <c r="I56" s="84"/>
      <c r="J56" s="84"/>
      <c r="K56" s="95">
        <f>'Rate of change'!D5</f>
        <v>0.62</v>
      </c>
      <c r="L56" s="83"/>
      <c r="M56" s="83"/>
      <c r="N56" s="83"/>
      <c r="O56" s="83"/>
      <c r="P56" s="83"/>
      <c r="Q56" s="83"/>
    </row>
    <row r="57" spans="2:17" outlineLevel="1">
      <c r="H57" s="84"/>
      <c r="I57" s="84"/>
      <c r="J57" s="84"/>
      <c r="K57" s="84"/>
      <c r="L57" s="84"/>
    </row>
    <row r="58" spans="2:17" outlineLevel="1">
      <c r="C58" s="111" t="s">
        <v>73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</row>
    <row r="59" spans="2:17" outlineLevel="1">
      <c r="C59" s="94" t="s">
        <v>77</v>
      </c>
      <c r="D59" s="82" t="s">
        <v>44</v>
      </c>
      <c r="E59" s="82" t="s">
        <v>54</v>
      </c>
      <c r="F59" s="82" t="s">
        <v>40</v>
      </c>
      <c r="H59" s="84"/>
      <c r="I59" s="84"/>
      <c r="J59" s="84"/>
      <c r="K59" s="84"/>
      <c r="L59" s="84"/>
      <c r="M59" s="112">
        <f>M52*$K$56</f>
        <v>5.8899999999999994E-3</v>
      </c>
      <c r="N59" s="112">
        <f t="shared" ref="N59:Q60" si="12">N52*$K$56</f>
        <v>5.2700000000000004E-3</v>
      </c>
      <c r="O59" s="112">
        <f t="shared" si="12"/>
        <v>7.4400000000000004E-3</v>
      </c>
      <c r="P59" s="112">
        <f t="shared" si="12"/>
        <v>1.085E-2</v>
      </c>
      <c r="Q59" s="112">
        <f t="shared" si="12"/>
        <v>1.24E-2</v>
      </c>
    </row>
    <row r="60" spans="2:17" outlineLevel="1">
      <c r="C60" s="94" t="s">
        <v>78</v>
      </c>
      <c r="D60" s="82" t="s">
        <v>44</v>
      </c>
      <c r="E60" s="82" t="s">
        <v>54</v>
      </c>
      <c r="F60" s="82" t="s">
        <v>40</v>
      </c>
      <c r="H60" s="84"/>
      <c r="I60" s="84"/>
      <c r="J60" s="84"/>
      <c r="K60" s="84"/>
      <c r="L60" s="84"/>
      <c r="M60" s="112">
        <f>M53*$K$56</f>
        <v>2.4887543598553379E-3</v>
      </c>
      <c r="N60" s="112">
        <f t="shared" si="12"/>
        <v>2.3040432990434714E-3</v>
      </c>
      <c r="O60" s="112">
        <f t="shared" si="12"/>
        <v>4.8670141708331109E-3</v>
      </c>
      <c r="P60" s="112">
        <f t="shared" si="12"/>
        <v>5.9356849745670591E-3</v>
      </c>
      <c r="Q60" s="112">
        <f t="shared" si="12"/>
        <v>6.3196060016212068E-3</v>
      </c>
    </row>
    <row r="61" spans="2:17" outlineLevel="1">
      <c r="C61" s="94"/>
      <c r="H61" s="84"/>
      <c r="I61" s="84"/>
      <c r="J61" s="84"/>
      <c r="K61" s="84"/>
      <c r="L61" s="83"/>
      <c r="M61" s="83"/>
      <c r="N61" s="83"/>
      <c r="O61" s="83"/>
      <c r="P61" s="83"/>
      <c r="Q61" s="83"/>
    </row>
    <row r="62" spans="2:17">
      <c r="H62" s="84"/>
      <c r="I62" s="84"/>
      <c r="J62" s="84"/>
      <c r="K62" s="84"/>
      <c r="L62" s="84"/>
      <c r="M62" s="84"/>
      <c r="N62" s="84"/>
      <c r="O62" s="84"/>
      <c r="P62" s="84"/>
      <c r="Q62" s="84"/>
    </row>
    <row r="63" spans="2:17" s="77" customFormat="1" ht="12">
      <c r="B63" s="78" t="s">
        <v>47</v>
      </c>
      <c r="C63" s="79"/>
      <c r="D63" s="80"/>
      <c r="E63" s="80"/>
      <c r="F63" s="109"/>
      <c r="G63" s="110"/>
      <c r="H63" s="80"/>
      <c r="I63" s="80"/>
      <c r="M63" s="79"/>
      <c r="N63" s="79"/>
      <c r="O63" s="79"/>
      <c r="P63" s="79"/>
      <c r="Q63" s="79"/>
    </row>
    <row r="64" spans="2:17" outlineLevel="1">
      <c r="H64" s="84"/>
      <c r="I64" s="84"/>
      <c r="J64" s="84"/>
      <c r="K64" s="84"/>
      <c r="L64" s="84"/>
      <c r="M64" s="84"/>
      <c r="N64" s="84"/>
      <c r="O64" s="84"/>
      <c r="P64" s="84"/>
      <c r="Q64" s="84"/>
    </row>
    <row r="65" spans="2:17" outlineLevel="1">
      <c r="C65" s="103" t="s">
        <v>71</v>
      </c>
      <c r="D65" s="86" t="s">
        <v>18</v>
      </c>
      <c r="E65" s="86" t="s">
        <v>33</v>
      </c>
      <c r="F65" s="86" t="s">
        <v>34</v>
      </c>
      <c r="H65" s="84"/>
      <c r="I65" s="84"/>
      <c r="J65" s="84"/>
      <c r="K65" s="89" t="str">
        <f>"CY"&amp;RIGHT(K$4,2)</f>
        <v>CY16</v>
      </c>
      <c r="L65" s="89" t="str">
        <f t="shared" ref="L65:Q65" si="13">"CY"&amp;RIGHT(L$4,2)</f>
        <v>CY17</v>
      </c>
      <c r="M65" s="89" t="str">
        <f t="shared" si="13"/>
        <v>CY18</v>
      </c>
      <c r="N65" s="89" t="str">
        <f t="shared" si="13"/>
        <v>CY19</v>
      </c>
      <c r="O65" s="89" t="str">
        <f t="shared" si="13"/>
        <v>CY20</v>
      </c>
      <c r="P65" s="89" t="str">
        <f t="shared" si="13"/>
        <v>CY21</v>
      </c>
      <c r="Q65" s="89" t="str">
        <f t="shared" si="13"/>
        <v>CY22</v>
      </c>
    </row>
    <row r="66" spans="2:17" outlineLevel="1">
      <c r="C66" s="103"/>
      <c r="H66" s="84"/>
      <c r="I66" s="84"/>
      <c r="J66" s="84"/>
      <c r="K66" s="84"/>
      <c r="L66" s="84"/>
      <c r="M66" s="84"/>
      <c r="N66" s="84"/>
      <c r="O66" s="84"/>
      <c r="P66" s="84"/>
      <c r="Q66" s="84"/>
    </row>
    <row r="67" spans="2:17" outlineLevel="1">
      <c r="B67" s="103"/>
      <c r="C67" s="111" t="s">
        <v>48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</row>
    <row r="68" spans="2:17" outlineLevel="1">
      <c r="C68" s="94" t="s">
        <v>4</v>
      </c>
      <c r="D68" s="82" t="s">
        <v>66</v>
      </c>
      <c r="E68" s="82" t="s">
        <v>56</v>
      </c>
      <c r="F68" s="82" t="s">
        <v>40</v>
      </c>
      <c r="H68" s="84"/>
      <c r="I68" s="84"/>
      <c r="J68" s="84"/>
      <c r="K68" s="84"/>
      <c r="L68" s="119">
        <f>'Rate of change'!C11</f>
        <v>697316.6179893954</v>
      </c>
      <c r="M68" s="118">
        <f>'Rate of change'!D11</f>
        <v>700864.52056849364</v>
      </c>
      <c r="N68" s="118">
        <f>'Rate of change'!E11</f>
        <v>704501.49403966451</v>
      </c>
      <c r="O68" s="118">
        <f>'Rate of change'!F11</f>
        <v>708153.64468572242</v>
      </c>
      <c r="P68" s="118">
        <f>'Rate of change'!G11</f>
        <v>711570.96867112827</v>
      </c>
      <c r="Q68" s="118">
        <f>'Rate of change'!H11</f>
        <v>715071.46651405969</v>
      </c>
    </row>
    <row r="69" spans="2:17" outlineLevel="1">
      <c r="C69" s="94" t="s">
        <v>5</v>
      </c>
      <c r="D69" s="82" t="s">
        <v>66</v>
      </c>
      <c r="E69" s="82" t="s">
        <v>57</v>
      </c>
      <c r="F69" s="82" t="s">
        <v>40</v>
      </c>
      <c r="H69" s="84"/>
      <c r="I69" s="84"/>
      <c r="J69" s="84"/>
      <c r="K69" s="84"/>
      <c r="L69" s="119">
        <f>'Rate of change'!C12</f>
        <v>10093.665342600001</v>
      </c>
      <c r="M69" s="118">
        <f>'Rate of change'!D12</f>
        <v>10171.386565738021</v>
      </c>
      <c r="N69" s="118">
        <f>'Rate of change'!E12</f>
        <v>10249.706242294204</v>
      </c>
      <c r="O69" s="118">
        <f>'Rate of change'!F12</f>
        <v>10328.62898035987</v>
      </c>
      <c r="P69" s="118">
        <f>'Rate of change'!G12</f>
        <v>10408.159423508641</v>
      </c>
      <c r="Q69" s="118">
        <f>'Rate of change'!H12</f>
        <v>10488.302251069659</v>
      </c>
    </row>
    <row r="70" spans="2:17" outlineLevel="1"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2:17" outlineLevel="1">
      <c r="C71" s="111" t="s">
        <v>50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spans="2:17" outlineLevel="1">
      <c r="C72" s="94" t="s">
        <v>49</v>
      </c>
      <c r="D72" s="82" t="s">
        <v>44</v>
      </c>
      <c r="E72" s="82" t="s">
        <v>54</v>
      </c>
      <c r="F72" s="82" t="s">
        <v>40</v>
      </c>
      <c r="H72" s="84"/>
      <c r="I72" s="84"/>
      <c r="J72" s="84"/>
      <c r="K72" s="84"/>
      <c r="L72" s="84"/>
      <c r="M72" s="112">
        <f t="shared" ref="M72:Q73" si="14">LN(M68)-LN(L68)</f>
        <v>5.0750365546115006E-3</v>
      </c>
      <c r="N72" s="112">
        <f t="shared" si="14"/>
        <v>5.1758496402083409E-3</v>
      </c>
      <c r="O72" s="112">
        <f t="shared" si="14"/>
        <v>5.1706303722003355E-3</v>
      </c>
      <c r="P72" s="112">
        <f t="shared" si="14"/>
        <v>4.8140752834040512E-3</v>
      </c>
      <c r="Q72" s="112">
        <f t="shared" si="14"/>
        <v>4.9073331642013329E-3</v>
      </c>
    </row>
    <row r="73" spans="2:17" outlineLevel="1">
      <c r="C73" s="94" t="s">
        <v>4</v>
      </c>
      <c r="D73" s="82" t="s">
        <v>44</v>
      </c>
      <c r="E73" s="82" t="s">
        <v>54</v>
      </c>
      <c r="F73" s="82" t="s">
        <v>40</v>
      </c>
      <c r="H73" s="84"/>
      <c r="I73" s="84"/>
      <c r="J73" s="84"/>
      <c r="K73" s="84"/>
      <c r="L73" s="84"/>
      <c r="M73" s="112">
        <f t="shared" si="14"/>
        <v>7.6705063042190602E-3</v>
      </c>
      <c r="N73" s="112">
        <f t="shared" si="14"/>
        <v>7.6705063042190602E-3</v>
      </c>
      <c r="O73" s="112">
        <f t="shared" si="14"/>
        <v>7.6705063042208366E-3</v>
      </c>
      <c r="P73" s="112">
        <f t="shared" si="14"/>
        <v>7.6705063042190602E-3</v>
      </c>
      <c r="Q73" s="112">
        <f t="shared" si="14"/>
        <v>7.6705063042190602E-3</v>
      </c>
    </row>
    <row r="74" spans="2:17" outlineLevel="1">
      <c r="C74" s="94"/>
      <c r="H74" s="84"/>
      <c r="I74" s="84"/>
      <c r="J74" s="84"/>
      <c r="K74" s="84"/>
      <c r="L74" s="83"/>
      <c r="M74" s="83"/>
      <c r="N74" s="83"/>
      <c r="O74" s="83"/>
      <c r="P74" s="83"/>
      <c r="Q74" s="83"/>
    </row>
    <row r="75" spans="2:17" outlineLevel="1">
      <c r="C75" s="111" t="s">
        <v>6</v>
      </c>
      <c r="H75" s="84"/>
      <c r="I75" s="84"/>
      <c r="J75" s="84"/>
      <c r="K75" s="84"/>
      <c r="L75" s="83"/>
      <c r="M75" s="83"/>
      <c r="N75" s="83"/>
      <c r="O75" s="83"/>
      <c r="P75" s="83"/>
      <c r="Q75" s="83"/>
    </row>
    <row r="76" spans="2:17" outlineLevel="1">
      <c r="C76" s="94" t="s">
        <v>49</v>
      </c>
      <c r="D76" s="82" t="s">
        <v>66</v>
      </c>
      <c r="E76" s="82" t="s">
        <v>54</v>
      </c>
      <c r="F76" s="82" t="s">
        <v>40</v>
      </c>
      <c r="H76" s="84"/>
      <c r="I76" s="84"/>
      <c r="J76" s="84"/>
      <c r="K76" s="95">
        <f>'Rate of change'!C15</f>
        <v>0.45</v>
      </c>
      <c r="L76" s="83"/>
      <c r="M76" s="83"/>
      <c r="N76" s="83"/>
      <c r="O76" s="83"/>
      <c r="P76" s="83"/>
      <c r="Q76" s="83"/>
    </row>
    <row r="77" spans="2:17" outlineLevel="1">
      <c r="C77" s="94" t="s">
        <v>4</v>
      </c>
      <c r="D77" s="82" t="s">
        <v>66</v>
      </c>
      <c r="E77" s="82" t="s">
        <v>54</v>
      </c>
      <c r="F77" s="82" t="s">
        <v>40</v>
      </c>
      <c r="H77" s="84"/>
      <c r="I77" s="84"/>
      <c r="J77" s="84"/>
      <c r="K77" s="95">
        <f>'Rate of change'!C16</f>
        <v>0.55000000000000004</v>
      </c>
      <c r="L77" s="83"/>
      <c r="M77" s="83"/>
      <c r="N77" s="83"/>
      <c r="O77" s="83"/>
      <c r="P77" s="83"/>
      <c r="Q77" s="83"/>
    </row>
    <row r="78" spans="2:17" outlineLevel="1">
      <c r="H78" s="84"/>
      <c r="I78" s="84"/>
      <c r="J78" s="84"/>
      <c r="K78" s="84"/>
      <c r="L78" s="83"/>
      <c r="M78" s="83"/>
      <c r="N78" s="83"/>
      <c r="O78" s="83"/>
      <c r="P78" s="83"/>
      <c r="Q78" s="83"/>
    </row>
    <row r="79" spans="2:17" outlineLevel="1">
      <c r="C79" s="113" t="s">
        <v>79</v>
      </c>
      <c r="D79" s="100" t="s">
        <v>44</v>
      </c>
      <c r="E79" s="100" t="s">
        <v>54</v>
      </c>
      <c r="F79" s="100" t="s">
        <v>40</v>
      </c>
      <c r="H79" s="84"/>
      <c r="I79" s="84"/>
      <c r="J79" s="106"/>
      <c r="K79" s="114"/>
      <c r="L79" s="115">
        <f t="shared" ref="L79:Q79" si="15">SUMPRODUCT(L72:L73,$K76:$K77)</f>
        <v>0</v>
      </c>
      <c r="M79" s="115">
        <f t="shared" si="15"/>
        <v>6.5025449168956591E-3</v>
      </c>
      <c r="N79" s="115">
        <f t="shared" si="15"/>
        <v>6.5479108054142376E-3</v>
      </c>
      <c r="O79" s="115">
        <f t="shared" si="15"/>
        <v>6.5455621348116111E-3</v>
      </c>
      <c r="P79" s="115">
        <f t="shared" si="15"/>
        <v>6.3851123448523065E-3</v>
      </c>
      <c r="Q79" s="115">
        <f t="shared" si="15"/>
        <v>6.4270783912110836E-3</v>
      </c>
    </row>
    <row r="80" spans="2:17" outlineLevel="1">
      <c r="H80" s="84"/>
      <c r="I80" s="84"/>
      <c r="J80" s="84"/>
      <c r="K80" s="84"/>
      <c r="L80" s="84"/>
      <c r="M80" s="84"/>
      <c r="N80" s="84"/>
      <c r="O80" s="84"/>
      <c r="P80" s="84"/>
      <c r="Q80" s="84"/>
    </row>
    <row r="81" spans="8:17" outlineLevel="1">
      <c r="H81" s="84"/>
      <c r="I81" s="84"/>
      <c r="J81" s="84"/>
      <c r="K81" s="84"/>
      <c r="L81" s="84"/>
      <c r="M81" s="84"/>
      <c r="N81" s="84"/>
      <c r="O81" s="84"/>
      <c r="P81" s="84"/>
      <c r="Q81" s="84"/>
    </row>
    <row r="84" spans="8:17">
      <c r="J84" s="120" t="s">
        <v>119</v>
      </c>
      <c r="M84" s="209">
        <f>M28</f>
        <v>5.8899999999999994E-3</v>
      </c>
      <c r="N84" s="209">
        <f>((1+M84)*(1+N28))-1</f>
        <v>1.1191040299999955E-2</v>
      </c>
      <c r="O84" s="209">
        <f>((1+N84)*(1+O28))-1</f>
        <v>1.8714301639831898E-2</v>
      </c>
      <c r="P84" s="209">
        <f>((1+O84)*(1+P28))-1</f>
        <v>2.9767351812624021E-2</v>
      </c>
      <c r="Q84" s="209">
        <f>((1+P84)*(1+Q28))-1</f>
        <v>4.2536466975100495E-2</v>
      </c>
    </row>
    <row r="85" spans="8:17">
      <c r="J85" s="120" t="s">
        <v>118</v>
      </c>
      <c r="M85" s="209">
        <f>M30</f>
        <v>6.5025449168956591E-3</v>
      </c>
      <c r="N85" s="209">
        <f>((1+M85)*(1+N30))-1</f>
        <v>1.3093033806433896E-2</v>
      </c>
      <c r="O85" s="209">
        <f>((1+N85)*(1+O30))-1</f>
        <v>1.9724297207558639E-2</v>
      </c>
      <c r="P85" s="209">
        <f>((1+O85)*(1+P30))-1</f>
        <v>2.6235351406004526E-2</v>
      </c>
      <c r="Q85" s="209">
        <f>((1+P85)*(1+Q30))-1</f>
        <v>3.2831046457322932E-2</v>
      </c>
    </row>
    <row r="86" spans="8:17">
      <c r="M86" s="209"/>
    </row>
    <row r="87" spans="8:17">
      <c r="J87" s="120" t="s">
        <v>119</v>
      </c>
      <c r="M87" s="208">
        <f>M84*$L$34</f>
        <v>0.41804133053467807</v>
      </c>
      <c r="N87" s="208">
        <f t="shared" ref="N87:Q87" si="16">N84*$L$34</f>
        <v>0.79428138829867312</v>
      </c>
      <c r="O87" s="208">
        <f t="shared" si="16"/>
        <v>1.3282430488187835</v>
      </c>
      <c r="P87" s="208">
        <f t="shared" si="16"/>
        <v>2.1127306210939234</v>
      </c>
      <c r="Q87" s="208">
        <f t="shared" si="16"/>
        <v>3.0190154924474375</v>
      </c>
    </row>
    <row r="88" spans="8:17">
      <c r="J88" s="120" t="s">
        <v>118</v>
      </c>
      <c r="M88" s="208">
        <f>($L$34+M87)*M85</f>
        <v>0.46423489091950959</v>
      </c>
      <c r="N88" s="208">
        <f t="shared" ref="N88:Q88" si="17">($L$34+N87)*N85</f>
        <v>0.93967447211417177</v>
      </c>
      <c r="O88" s="208">
        <f t="shared" si="17"/>
        <v>1.4261259014922643</v>
      </c>
      <c r="P88" s="208">
        <f t="shared" si="17"/>
        <v>1.9174759737020293</v>
      </c>
      <c r="Q88" s="208">
        <f t="shared" si="17"/>
        <v>2.4292930480517749</v>
      </c>
    </row>
  </sheetData>
  <mergeCells count="4">
    <mergeCell ref="C1:E1"/>
    <mergeCell ref="C2:E2"/>
    <mergeCell ref="H3:J3"/>
    <mergeCell ref="L3:Q3"/>
  </mergeCells>
  <dataValidations count="2">
    <dataValidation type="list" allowBlank="1" showInputMessage="1" showErrorMessage="1" sqref="F43 F41">
      <formula1>"Real 2010,Real 2011,Real 2012,Real 2013,Real 2014,Real 2015,Nominal"</formula1>
    </dataValidation>
    <dataValidation type="list" allowBlank="1" showInputMessage="1" showErrorMessage="1" sqref="F20:F21 F24 F26">
      <formula1>$C$80:$C$80</formula1>
    </dataValidation>
  </dataValidations>
  <pageMargins left="0.7" right="0.7" top="0.75" bottom="0.75" header="0.3" footer="0.3"/>
  <pageSetup paperSize="9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C6" sqref="C6"/>
    </sheetView>
  </sheetViews>
  <sheetFormatPr defaultRowHeight="15"/>
  <cols>
    <col min="2" max="2" width="28.7109375" customWidth="1"/>
  </cols>
  <sheetData>
    <row r="2" spans="2:8" ht="15.75" thickBot="1"/>
    <row r="3" spans="2:8" ht="15.75" thickBot="1">
      <c r="B3" s="204"/>
      <c r="C3" s="205">
        <v>2018</v>
      </c>
      <c r="D3" s="205">
        <v>2019</v>
      </c>
      <c r="E3" s="205">
        <v>2020</v>
      </c>
      <c r="F3" s="205">
        <v>2021</v>
      </c>
      <c r="G3" s="205">
        <v>2022</v>
      </c>
      <c r="H3" s="205" t="s">
        <v>116</v>
      </c>
    </row>
    <row r="4" spans="2:8" ht="15.75" thickBot="1">
      <c r="B4" s="206" t="s">
        <v>117</v>
      </c>
      <c r="C4" s="210">
        <f>'Calc|Opex Forecast'!L34</f>
        <v>70.974759004189835</v>
      </c>
      <c r="D4" s="210">
        <f>C4</f>
        <v>70.974759004189835</v>
      </c>
      <c r="E4" s="210">
        <f t="shared" ref="E4:G4" si="0">D4</f>
        <v>70.974759004189835</v>
      </c>
      <c r="F4" s="210">
        <f t="shared" si="0"/>
        <v>70.974759004189835</v>
      </c>
      <c r="G4" s="210">
        <f t="shared" si="0"/>
        <v>70.974759004189835</v>
      </c>
      <c r="H4" s="210">
        <f t="shared" ref="H4:H10" si="1">SUM(C4:G4)</f>
        <v>354.87379502094916</v>
      </c>
    </row>
    <row r="5" spans="2:8" ht="15.75" thickBot="1">
      <c r="B5" s="206" t="s">
        <v>118</v>
      </c>
      <c r="C5" s="211">
        <f>'Calc|Opex Forecast'!M88</f>
        <v>0.46423489091950959</v>
      </c>
      <c r="D5" s="211">
        <f>'Calc|Opex Forecast'!N88</f>
        <v>0.93967447211417177</v>
      </c>
      <c r="E5" s="211">
        <f>'Calc|Opex Forecast'!O88</f>
        <v>1.4261259014922643</v>
      </c>
      <c r="F5" s="211">
        <f>'Calc|Opex Forecast'!P88</f>
        <v>1.9174759737020293</v>
      </c>
      <c r="G5" s="211">
        <f>'Calc|Opex Forecast'!Q88</f>
        <v>2.4292930480517749</v>
      </c>
      <c r="H5" s="211">
        <f t="shared" si="1"/>
        <v>7.1768042862797508</v>
      </c>
    </row>
    <row r="6" spans="2:8" ht="15.75" thickBot="1">
      <c r="B6" s="206" t="s">
        <v>119</v>
      </c>
      <c r="C6" s="210">
        <f>'Calc|Opex Forecast'!M87</f>
        <v>0.41804133053467807</v>
      </c>
      <c r="D6" s="210">
        <f>'Calc|Opex Forecast'!N87</f>
        <v>0.79428138829867312</v>
      </c>
      <c r="E6" s="210">
        <f>'Calc|Opex Forecast'!O87</f>
        <v>1.3282430488187835</v>
      </c>
      <c r="F6" s="210">
        <f>'Calc|Opex Forecast'!P87</f>
        <v>2.1127306210939234</v>
      </c>
      <c r="G6" s="210">
        <f>'Calc|Opex Forecast'!Q87</f>
        <v>3.0190154924474375</v>
      </c>
      <c r="H6" s="210">
        <f t="shared" si="1"/>
        <v>7.6723118811934956</v>
      </c>
    </row>
    <row r="7" spans="2:8" ht="15.75" thickBot="1">
      <c r="B7" s="206" t="s">
        <v>120</v>
      </c>
      <c r="C7" s="212">
        <v>0</v>
      </c>
      <c r="D7" s="212">
        <v>0</v>
      </c>
      <c r="E7" s="212">
        <v>0</v>
      </c>
      <c r="F7" s="212">
        <v>0</v>
      </c>
      <c r="G7" s="212">
        <v>0</v>
      </c>
      <c r="H7" s="212">
        <f t="shared" si="1"/>
        <v>0</v>
      </c>
    </row>
    <row r="8" spans="2:8" ht="15.75" thickBot="1">
      <c r="B8" s="206" t="s">
        <v>121</v>
      </c>
      <c r="C8" s="210">
        <f>HLOOKUP([3]!Marketing_scenario,'[3]DMS input'!$F$88:$H$90,3,FALSE)/5</f>
        <v>4.6503698696877294</v>
      </c>
      <c r="D8" s="210">
        <f>HLOOKUP([3]!Marketing_scenario,'[3]DMS input'!$F$88:$H$90,3,FALSE)/5</f>
        <v>4.6503698696877294</v>
      </c>
      <c r="E8" s="210">
        <f>HLOOKUP([3]!Marketing_scenario,'[3]DMS input'!$F$88:$H$90,3,FALSE)/5</f>
        <v>4.6503698696877294</v>
      </c>
      <c r="F8" s="210">
        <f>HLOOKUP([3]!Marketing_scenario,'[3]DMS input'!$F$88:$H$90,3,FALSE)/5</f>
        <v>4.6503698696877294</v>
      </c>
      <c r="G8" s="210">
        <f>HLOOKUP([3]!Marketing_scenario,'[3]DMS input'!$F$88:$H$90,3,FALSE)/5</f>
        <v>4.6503698696877294</v>
      </c>
      <c r="H8" s="218">
        <f t="shared" si="1"/>
        <v>23.251849348438647</v>
      </c>
    </row>
    <row r="9" spans="2:8" ht="15.75" thickBot="1">
      <c r="B9" s="206" t="s">
        <v>122</v>
      </c>
      <c r="C9" s="212">
        <v>0</v>
      </c>
      <c r="D9" s="212">
        <v>0</v>
      </c>
      <c r="E9" s="212">
        <v>0</v>
      </c>
      <c r="F9" s="212">
        <v>0</v>
      </c>
      <c r="G9" s="212">
        <v>0</v>
      </c>
      <c r="H9" s="218">
        <f t="shared" si="1"/>
        <v>0</v>
      </c>
    </row>
    <row r="10" spans="2:8" ht="15.75" thickBot="1">
      <c r="B10" s="206" t="s">
        <v>123</v>
      </c>
      <c r="C10" s="211">
        <f>'[3]PTRM input'!G186</f>
        <v>0.64351152635054454</v>
      </c>
      <c r="D10" s="211">
        <f>'[3]PTRM input'!H186</f>
        <v>0.66900022261264092</v>
      </c>
      <c r="E10" s="211">
        <f>'[3]PTRM input'!I186</f>
        <v>0.6838896391510072</v>
      </c>
      <c r="F10" s="211">
        <f>'[3]PTRM input'!J186</f>
        <v>0.701184827316777</v>
      </c>
      <c r="G10" s="211">
        <f>'[3]PTRM input'!K186</f>
        <v>0.71705279346241801</v>
      </c>
      <c r="H10" s="218">
        <f t="shared" si="1"/>
        <v>3.4146390088933876</v>
      </c>
    </row>
    <row r="11" spans="2:8" ht="15.75" thickBot="1">
      <c r="B11" s="207" t="s">
        <v>124</v>
      </c>
      <c r="C11" s="210">
        <f t="shared" ref="C11:H11" si="2">SUM(C4:C10)</f>
        <v>77.150916621682313</v>
      </c>
      <c r="D11" s="210">
        <f t="shared" si="2"/>
        <v>78.028084956903044</v>
      </c>
      <c r="E11" s="210">
        <f t="shared" si="2"/>
        <v>79.063387463339609</v>
      </c>
      <c r="F11" s="210">
        <f t="shared" si="2"/>
        <v>80.356520295990293</v>
      </c>
      <c r="G11" s="210">
        <f t="shared" si="2"/>
        <v>81.790490207839184</v>
      </c>
      <c r="H11" s="210">
        <f t="shared" si="2"/>
        <v>396.38939954575449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workbookViewId="0">
      <selection activeCell="C11" sqref="C11:H11"/>
    </sheetView>
  </sheetViews>
  <sheetFormatPr defaultColWidth="8.85546875" defaultRowHeight="12.75"/>
  <cols>
    <col min="1" max="1" width="8.85546875" style="125"/>
    <col min="2" max="2" width="27.7109375" style="125" bestFit="1" customWidth="1"/>
    <col min="3" max="8" width="9.7109375" style="125" customWidth="1"/>
    <col min="9" max="16384" width="8.85546875" style="125"/>
  </cols>
  <sheetData>
    <row r="1" spans="2:8" ht="29.45" customHeight="1"/>
    <row r="2" spans="2:8">
      <c r="B2" s="197"/>
      <c r="C2" s="197">
        <v>2017</v>
      </c>
      <c r="D2" s="197">
        <f>C2+1</f>
        <v>2018</v>
      </c>
      <c r="E2" s="197">
        <f>D2+1</f>
        <v>2019</v>
      </c>
      <c r="F2" s="197">
        <f t="shared" ref="F2:H2" si="0">E2+1</f>
        <v>2020</v>
      </c>
      <c r="G2" s="197">
        <f t="shared" si="0"/>
        <v>2021</v>
      </c>
      <c r="H2" s="197">
        <f t="shared" si="0"/>
        <v>2022</v>
      </c>
    </row>
    <row r="3" spans="2:8">
      <c r="B3" s="200" t="s">
        <v>113</v>
      </c>
      <c r="C3" s="201"/>
      <c r="D3" s="201"/>
      <c r="E3" s="201"/>
      <c r="F3" s="201"/>
      <c r="G3" s="201"/>
      <c r="H3" s="201"/>
    </row>
    <row r="4" spans="2:8">
      <c r="B4" s="198" t="s">
        <v>1</v>
      </c>
      <c r="C4" s="131"/>
      <c r="D4" s="135">
        <f>'BIS labour Real Cost Escalators'!G3</f>
        <v>9.4999999999999998E-3</v>
      </c>
      <c r="E4" s="135">
        <f>'BIS labour Real Cost Escalators'!H3</f>
        <v>8.5000000000000006E-3</v>
      </c>
      <c r="F4" s="135">
        <f>'BIS labour Real Cost Escalators'!I3</f>
        <v>1.2E-2</v>
      </c>
      <c r="G4" s="135">
        <f>'BIS labour Real Cost Escalators'!J3</f>
        <v>1.7500000000000002E-2</v>
      </c>
      <c r="H4" s="135">
        <f>'BIS labour Real Cost Escalators'!K3</f>
        <v>0.02</v>
      </c>
    </row>
    <row r="5" spans="2:8">
      <c r="B5" s="198" t="s">
        <v>2</v>
      </c>
      <c r="C5" s="131"/>
      <c r="D5" s="191">
        <v>0.62</v>
      </c>
      <c r="E5" s="191">
        <v>0.62</v>
      </c>
      <c r="F5" s="191">
        <v>0.62</v>
      </c>
      <c r="G5" s="191">
        <v>0.62</v>
      </c>
      <c r="H5" s="191">
        <v>0.62</v>
      </c>
    </row>
    <row r="6" spans="2:8">
      <c r="B6" s="190"/>
      <c r="C6" s="131"/>
      <c r="D6" s="131"/>
      <c r="E6" s="131"/>
      <c r="F6" s="131"/>
      <c r="G6" s="131"/>
      <c r="H6" s="131"/>
    </row>
    <row r="7" spans="2:8">
      <c r="B7" s="199" t="s">
        <v>3</v>
      </c>
      <c r="C7" s="131"/>
      <c r="D7" s="135">
        <f>D5*D4</f>
        <v>5.8899999999999994E-3</v>
      </c>
      <c r="E7" s="135">
        <f t="shared" ref="E7:H7" si="1">E5*E4</f>
        <v>5.2700000000000004E-3</v>
      </c>
      <c r="F7" s="135">
        <f t="shared" si="1"/>
        <v>7.4400000000000004E-3</v>
      </c>
      <c r="G7" s="135">
        <f t="shared" si="1"/>
        <v>1.085E-2</v>
      </c>
      <c r="H7" s="135">
        <f t="shared" si="1"/>
        <v>1.24E-2</v>
      </c>
    </row>
    <row r="8" spans="2:8">
      <c r="B8" s="190"/>
      <c r="C8" s="131"/>
      <c r="D8" s="131"/>
      <c r="E8" s="131"/>
      <c r="F8" s="131"/>
      <c r="G8" s="131"/>
      <c r="H8" s="131"/>
    </row>
    <row r="9" spans="2:8">
      <c r="B9" s="200" t="s">
        <v>114</v>
      </c>
      <c r="C9" s="201"/>
      <c r="D9" s="201"/>
      <c r="E9" s="201"/>
      <c r="F9" s="201"/>
      <c r="G9" s="201"/>
      <c r="H9" s="201"/>
    </row>
    <row r="10" spans="2:8">
      <c r="B10" s="203" t="s">
        <v>115</v>
      </c>
      <c r="C10" s="202"/>
      <c r="D10" s="202"/>
      <c r="E10" s="202"/>
      <c r="F10" s="202"/>
      <c r="G10" s="202"/>
      <c r="H10" s="202"/>
    </row>
    <row r="11" spans="2:8">
      <c r="B11" s="198" t="s">
        <v>4</v>
      </c>
      <c r="C11" s="192">
        <f>'Outout Growth - scenarios'!F3</f>
        <v>697316.6179893954</v>
      </c>
      <c r="D11" s="192">
        <f>'Outout Growth - scenarios'!G3</f>
        <v>700864.52056849364</v>
      </c>
      <c r="E11" s="192">
        <f>'Outout Growth - scenarios'!H3</f>
        <v>704501.49403966451</v>
      </c>
      <c r="F11" s="192">
        <f>'Outout Growth - scenarios'!I3</f>
        <v>708153.64468572242</v>
      </c>
      <c r="G11" s="192">
        <f>'Outout Growth - scenarios'!J3</f>
        <v>711570.96867112827</v>
      </c>
      <c r="H11" s="192">
        <f>'Outout Growth - scenarios'!K3</f>
        <v>715071.46651405969</v>
      </c>
    </row>
    <row r="12" spans="2:8">
      <c r="B12" s="198" t="s">
        <v>5</v>
      </c>
      <c r="C12" s="192">
        <f>'Outout Growth - scenarios'!F5</f>
        <v>10093.665342600001</v>
      </c>
      <c r="D12" s="192">
        <f>'Outout Growth - scenarios'!G5</f>
        <v>10171.386565738021</v>
      </c>
      <c r="E12" s="192">
        <f>'Outout Growth - scenarios'!H5</f>
        <v>10249.706242294204</v>
      </c>
      <c r="F12" s="192">
        <f>'Outout Growth - scenarios'!I5</f>
        <v>10328.62898035987</v>
      </c>
      <c r="G12" s="192">
        <f>'Outout Growth - scenarios'!J5</f>
        <v>10408.159423508641</v>
      </c>
      <c r="H12" s="192">
        <f>'Outout Growth - scenarios'!K5</f>
        <v>10488.302251069659</v>
      </c>
    </row>
    <row r="13" spans="2:8">
      <c r="B13" s="190"/>
      <c r="C13" s="131"/>
      <c r="D13" s="131"/>
      <c r="E13" s="131"/>
      <c r="F13" s="131"/>
      <c r="G13" s="131"/>
      <c r="H13" s="131"/>
    </row>
    <row r="14" spans="2:8">
      <c r="B14" s="190"/>
      <c r="C14" s="193" t="s">
        <v>6</v>
      </c>
      <c r="D14" s="131"/>
      <c r="E14" s="131"/>
      <c r="F14" s="131"/>
      <c r="G14" s="131"/>
      <c r="H14" s="131"/>
    </row>
    <row r="15" spans="2:8">
      <c r="B15" s="198" t="s">
        <v>4</v>
      </c>
      <c r="C15" s="191">
        <v>0.45</v>
      </c>
      <c r="D15" s="135">
        <f>(D11-C11)/C11</f>
        <v>5.0879363657330718E-3</v>
      </c>
      <c r="E15" s="135">
        <f t="shared" ref="E15:H15" si="2">(E11-D11)/D11</f>
        <v>5.1892674895581926E-3</v>
      </c>
      <c r="F15" s="135">
        <f t="shared" si="2"/>
        <v>5.1840211510641443E-3</v>
      </c>
      <c r="G15" s="135">
        <f t="shared" si="2"/>
        <v>4.8256815608460953E-3</v>
      </c>
      <c r="H15" s="135">
        <f t="shared" si="2"/>
        <v>4.9193938441146143E-3</v>
      </c>
    </row>
    <row r="16" spans="2:8">
      <c r="B16" s="198" t="s">
        <v>5</v>
      </c>
      <c r="C16" s="191">
        <v>0.55000000000000004</v>
      </c>
      <c r="D16" s="135">
        <f>(D12-C12)/C12</f>
        <v>7.6999999999999916E-3</v>
      </c>
      <c r="E16" s="135">
        <f>(E12-D12)/D12</f>
        <v>7.6999999999999699E-3</v>
      </c>
      <c r="F16" s="135">
        <f>(F12-E12)/E12</f>
        <v>7.7000000000001234E-3</v>
      </c>
      <c r="G16" s="135">
        <f>(G12-F12)/F12</f>
        <v>7.700000000000015E-3</v>
      </c>
      <c r="H16" s="135">
        <f>(H12-G12)/G12</f>
        <v>7.7000000000001251E-3</v>
      </c>
    </row>
    <row r="17" spans="2:8">
      <c r="B17" s="190"/>
      <c r="C17" s="131"/>
      <c r="D17" s="131"/>
      <c r="E17" s="131"/>
      <c r="F17" s="131"/>
      <c r="G17" s="131"/>
      <c r="H17" s="131"/>
    </row>
    <row r="18" spans="2:8">
      <c r="B18" s="194"/>
      <c r="C18" s="195"/>
      <c r="D18" s="196">
        <f>$C15*D15+$C16*D16</f>
        <v>6.5245713645798783E-3</v>
      </c>
      <c r="E18" s="196">
        <f t="shared" ref="E18:H18" si="3">$C15*E15+$C16*E16</f>
        <v>6.5701703703011701E-3</v>
      </c>
      <c r="F18" s="196">
        <f t="shared" si="3"/>
        <v>6.5678095179789332E-3</v>
      </c>
      <c r="G18" s="196">
        <f t="shared" si="3"/>
        <v>6.4065567023807515E-3</v>
      </c>
      <c r="H18" s="196">
        <f t="shared" si="3"/>
        <v>6.448727229851646E-3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29"/>
  <sheetViews>
    <sheetView workbookViewId="0">
      <selection activeCell="G15" sqref="G15"/>
    </sheetView>
  </sheetViews>
  <sheetFormatPr defaultColWidth="8.85546875" defaultRowHeight="15"/>
  <cols>
    <col min="1" max="1" width="8.85546875" style="2"/>
    <col min="2" max="2" width="45.5703125" style="2" bestFit="1" customWidth="1"/>
    <col min="3" max="3" width="11.85546875" style="2" customWidth="1"/>
    <col min="4" max="4" width="19.7109375" style="2" hidden="1" customWidth="1"/>
    <col min="5" max="5" width="16.140625" style="2" hidden="1" customWidth="1"/>
    <col min="6" max="6" width="15.28515625" style="2" hidden="1" customWidth="1"/>
    <col min="7" max="7" width="21.85546875" style="2" customWidth="1"/>
    <col min="8" max="23" width="8.85546875" style="2"/>
    <col min="24" max="16384" width="8.85546875" style="1"/>
  </cols>
  <sheetData>
    <row r="2" spans="2:9" s="2" customFormat="1" ht="27" customHeight="1">
      <c r="B2" s="142" t="s">
        <v>89</v>
      </c>
    </row>
    <row r="3" spans="2:9">
      <c r="B3" s="141"/>
      <c r="C3" s="141"/>
      <c r="D3" s="140" t="s">
        <v>88</v>
      </c>
      <c r="E3" s="140" t="s">
        <v>87</v>
      </c>
      <c r="F3" s="140" t="s">
        <v>125</v>
      </c>
      <c r="G3" s="140" t="s">
        <v>133</v>
      </c>
    </row>
    <row r="4" spans="2:9">
      <c r="B4" s="139" t="s">
        <v>86</v>
      </c>
      <c r="C4" s="131"/>
      <c r="D4" s="138"/>
      <c r="E4" s="131"/>
      <c r="F4" s="131"/>
      <c r="G4" s="131"/>
    </row>
    <row r="5" spans="2:9">
      <c r="B5" s="133" t="s">
        <v>37</v>
      </c>
      <c r="C5" s="137" t="s">
        <v>58</v>
      </c>
      <c r="D5" s="130">
        <v>75.965000000000003</v>
      </c>
      <c r="E5" s="130">
        <v>74.995956364757149</v>
      </c>
      <c r="F5" s="130">
        <f>'[4]INPUT - by HY'!X23/1000</f>
        <v>73.551327621472382</v>
      </c>
      <c r="G5" s="130">
        <v>78.069796211966818</v>
      </c>
      <c r="I5" s="60"/>
    </row>
    <row r="6" spans="2:9">
      <c r="B6" s="133" t="s">
        <v>63</v>
      </c>
      <c r="C6" s="137" t="s">
        <v>58</v>
      </c>
      <c r="D6" s="130">
        <v>-8.5060000000000002</v>
      </c>
      <c r="E6" s="130">
        <v>-8.5218709490000002</v>
      </c>
      <c r="F6" s="130">
        <f>'[4]INPUT - by HY'!X25/1000</f>
        <v>-8.1533339999999992</v>
      </c>
      <c r="G6" s="130">
        <f>'[4]INPUT - by HY'!X25/1000</f>
        <v>-8.1533339999999992</v>
      </c>
    </row>
    <row r="7" spans="2:9">
      <c r="B7" s="133" t="s">
        <v>64</v>
      </c>
      <c r="C7" s="137" t="s">
        <v>58</v>
      </c>
      <c r="D7" s="130">
        <v>0.28199999999999997</v>
      </c>
      <c r="E7" s="130">
        <v>0.28375699999999998</v>
      </c>
      <c r="F7" s="130">
        <f>'[4]INPUT - by HY'!X26/1000</f>
        <v>0.28664400000000001</v>
      </c>
      <c r="G7" s="130">
        <f>'[4]INPUT - by HY'!X26/1000</f>
        <v>0.28664400000000001</v>
      </c>
    </row>
    <row r="8" spans="2:9">
      <c r="B8" s="133" t="s">
        <v>65</v>
      </c>
      <c r="C8" s="137" t="s">
        <v>58</v>
      </c>
      <c r="D8" s="130">
        <v>-0.13800000000000001</v>
      </c>
      <c r="E8" s="130">
        <v>-0.13762200000000002</v>
      </c>
      <c r="F8" s="130">
        <f>'[4]INPUT - by HY'!X27/1000</f>
        <v>-8.4733332031249983E-2</v>
      </c>
      <c r="G8" s="130">
        <f>'[4]INPUT - by HY'!X27/1000</f>
        <v>-8.4733332031249983E-2</v>
      </c>
    </row>
    <row r="9" spans="2:9">
      <c r="B9" s="133" t="s">
        <v>85</v>
      </c>
      <c r="C9" s="137" t="s">
        <v>58</v>
      </c>
      <c r="D9" s="130">
        <v>0</v>
      </c>
      <c r="E9" s="130">
        <v>-1</v>
      </c>
      <c r="F9" s="130">
        <f>'[4]INPUT - by HY'!X28/1000</f>
        <v>-1.3839999999999999</v>
      </c>
      <c r="G9" s="130">
        <f>'[4]INPUT - by HY'!X28/1000</f>
        <v>-1.3839999999999999</v>
      </c>
    </row>
    <row r="10" spans="2:9">
      <c r="B10" s="133" t="s">
        <v>38</v>
      </c>
      <c r="C10" s="136" t="s">
        <v>58</v>
      </c>
      <c r="D10" s="130"/>
      <c r="E10" s="130"/>
      <c r="F10" s="130"/>
      <c r="G10" s="130"/>
    </row>
    <row r="11" spans="2:9">
      <c r="B11" s="131"/>
      <c r="C11" s="130"/>
      <c r="D11" s="130"/>
      <c r="E11" s="130"/>
      <c r="F11" s="130"/>
      <c r="G11" s="130"/>
    </row>
    <row r="12" spans="2:9">
      <c r="B12" s="133" t="s">
        <v>83</v>
      </c>
      <c r="C12" s="130"/>
      <c r="D12" s="126">
        <f>SUM(D5:D10)</f>
        <v>67.602999999999994</v>
      </c>
      <c r="E12" s="126">
        <f>SUM(E5:E10)</f>
        <v>65.620220415757146</v>
      </c>
      <c r="F12" s="126">
        <f>SUM(F5:F10)</f>
        <v>64.215904289441127</v>
      </c>
      <c r="G12" s="126">
        <f>SUM(G5:G10)</f>
        <v>68.734372879935563</v>
      </c>
    </row>
    <row r="13" spans="2:9">
      <c r="B13" s="131"/>
      <c r="C13" s="130"/>
      <c r="D13" s="130"/>
      <c r="E13" s="130"/>
      <c r="F13" s="130"/>
      <c r="G13" s="130"/>
    </row>
    <row r="14" spans="2:9">
      <c r="B14" s="133" t="s">
        <v>84</v>
      </c>
      <c r="C14" s="135">
        <f>(1+C15)^0.5-1</f>
        <v>6.4591397568010134E-3</v>
      </c>
      <c r="D14" s="130">
        <f>D12*($C14)</f>
        <v>0.43665722497901888</v>
      </c>
      <c r="E14" s="130">
        <f>E12*($C14)</f>
        <v>0.42385017453746249</v>
      </c>
      <c r="F14" s="130">
        <f>F12*($C14)</f>
        <v>0.41477950041485789</v>
      </c>
      <c r="G14" s="130">
        <f>G12*($C14)</f>
        <v>0.44396492052757719</v>
      </c>
    </row>
    <row r="15" spans="2:9">
      <c r="B15" s="133" t="s">
        <v>67</v>
      </c>
      <c r="C15" s="135">
        <f>('Economic Assumptions'!W7/'Economic Assumptions'!V7)-1</f>
        <v>1.2960000000000083E-2</v>
      </c>
      <c r="D15" s="130">
        <f>(D12+D14)*$C15</f>
        <v>0.88179395763573354</v>
      </c>
      <c r="E15" s="130">
        <f>(E12+E14)*$C15</f>
        <v>0.85593115485022364</v>
      </c>
      <c r="F15" s="130">
        <f>(F12+F14)*$C15</f>
        <v>0.83761366191653885</v>
      </c>
      <c r="G15" s="130">
        <f>(G12+G14)*$C15</f>
        <v>0.89655125789400802</v>
      </c>
      <c r="H15" s="60">
        <f>G12+G15</f>
        <v>69.630924137829567</v>
      </c>
      <c r="I15" s="2" t="s">
        <v>134</v>
      </c>
    </row>
    <row r="16" spans="2:9">
      <c r="B16" s="131"/>
      <c r="C16" s="131"/>
      <c r="D16" s="130"/>
      <c r="E16" s="130"/>
      <c r="F16" s="130"/>
      <c r="G16" s="130"/>
    </row>
    <row r="17" spans="2:7">
      <c r="B17" s="134" t="s">
        <v>83</v>
      </c>
      <c r="C17" s="131"/>
      <c r="D17" s="126">
        <f>SUM(D12:D15)</f>
        <v>68.921451182614746</v>
      </c>
      <c r="E17" s="126">
        <f>SUM(E12:E15)</f>
        <v>66.900001745144834</v>
      </c>
      <c r="F17" s="126">
        <f>SUM(F12:F15)</f>
        <v>65.468297451772514</v>
      </c>
      <c r="G17" s="126">
        <f>SUM(G12:G15)</f>
        <v>70.074889058357144</v>
      </c>
    </row>
    <row r="18" spans="2:7">
      <c r="B18" s="133"/>
      <c r="C18" s="131"/>
      <c r="D18" s="130"/>
      <c r="E18" s="130"/>
      <c r="F18" s="130"/>
      <c r="G18" s="130"/>
    </row>
    <row r="19" spans="2:7">
      <c r="B19" s="133" t="s">
        <v>82</v>
      </c>
      <c r="C19" s="132" t="s">
        <v>68</v>
      </c>
      <c r="D19" s="130">
        <f>(('Diff. between 2016 &amp; 2017'!G4-'Diff. between 2016 &amp; 2017'!F4)/1000)*('Economic Assumptions'!W7/'Economic Assumptions'!R7)</f>
        <v>0.89986994583269797</v>
      </c>
      <c r="E19" s="130">
        <f>(('Diff. between 2016 &amp; 2017'!G4-'Diff. between 2016 &amp; 2017'!F4)/1000)*('Economic Assumptions'!W7/'Economic Assumptions'!R7)</f>
        <v>0.89986994583269797</v>
      </c>
      <c r="F19" s="130">
        <f>(('Diff. between 2016 &amp; 2017'!G4-'Diff. between 2016 &amp; 2017'!F4)/1000)*('Economic Assumptions'!W7/'Economic Assumptions'!R7)</f>
        <v>0.89986994583269797</v>
      </c>
      <c r="G19" s="130">
        <f>(('Diff. between 2016 &amp; 2017'!G4-'Diff. between 2016 &amp; 2017'!F4)/1000)*('Economic Assumptions'!W7/'Economic Assumptions'!R7)</f>
        <v>0.89986994583269797</v>
      </c>
    </row>
    <row r="20" spans="2:7">
      <c r="B20" s="131"/>
      <c r="C20" s="131"/>
      <c r="D20" s="130"/>
      <c r="E20" s="130"/>
      <c r="F20" s="130"/>
      <c r="G20" s="130"/>
    </row>
    <row r="21" spans="2:7">
      <c r="B21" s="129" t="s">
        <v>81</v>
      </c>
      <c r="C21" s="128" t="s">
        <v>68</v>
      </c>
      <c r="D21" s="127">
        <f>D17+D19</f>
        <v>69.821321128447437</v>
      </c>
      <c r="E21" s="126">
        <f>E17+E19</f>
        <v>67.799871690977525</v>
      </c>
      <c r="F21" s="126">
        <f>F17+F19</f>
        <v>66.368167397605205</v>
      </c>
      <c r="G21" s="126">
        <f>G17+G19</f>
        <v>70.974759004189835</v>
      </c>
    </row>
    <row r="22" spans="2:7">
      <c r="B22" s="125"/>
      <c r="C22" s="125"/>
      <c r="D22" s="125"/>
      <c r="E22" s="125"/>
    </row>
    <row r="23" spans="2:7">
      <c r="B23" s="125"/>
      <c r="C23" s="125"/>
      <c r="D23" s="125"/>
      <c r="E23" s="125"/>
    </row>
    <row r="29" spans="2:7">
      <c r="G29" s="124"/>
    </row>
  </sheetData>
  <pageMargins left="0.25" right="0.25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workbookViewId="0">
      <selection activeCell="I23" sqref="I23"/>
    </sheetView>
  </sheetViews>
  <sheetFormatPr defaultColWidth="8.85546875" defaultRowHeight="15"/>
  <cols>
    <col min="1" max="1" width="8.85546875" style="1"/>
    <col min="2" max="2" width="20.28515625" style="1" bestFit="1" customWidth="1"/>
    <col min="3" max="16384" width="8.85546875" style="1"/>
  </cols>
  <sheetData>
    <row r="2" spans="2:7">
      <c r="B2" s="151" t="s">
        <v>93</v>
      </c>
      <c r="C2" s="150" t="s">
        <v>92</v>
      </c>
      <c r="D2" s="150"/>
      <c r="E2" s="150"/>
      <c r="F2" s="150"/>
      <c r="G2" s="149"/>
    </row>
    <row r="3" spans="2:7">
      <c r="B3" s="148" t="s">
        <v>91</v>
      </c>
      <c r="C3" s="147">
        <v>2013</v>
      </c>
      <c r="D3" s="147">
        <v>2014</v>
      </c>
      <c r="E3" s="147">
        <v>2015</v>
      </c>
      <c r="F3" s="147">
        <v>2016</v>
      </c>
      <c r="G3" s="146">
        <v>2017</v>
      </c>
    </row>
    <row r="4" spans="2:7">
      <c r="B4" s="145" t="s">
        <v>90</v>
      </c>
      <c r="C4" s="144">
        <v>56985.617667156788</v>
      </c>
      <c r="D4" s="144">
        <v>62456.705104288565</v>
      </c>
      <c r="E4" s="144">
        <v>64725.135254196102</v>
      </c>
      <c r="F4" s="144">
        <v>64371.415384773303</v>
      </c>
      <c r="G4" s="143">
        <v>65192.322974737282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workbookViewId="0">
      <selection activeCell="O8" sqref="O8"/>
    </sheetView>
  </sheetViews>
  <sheetFormatPr defaultColWidth="9.140625" defaultRowHeight="15"/>
  <cols>
    <col min="1" max="1" width="9.140625" style="1"/>
    <col min="2" max="2" width="11.42578125" style="1" customWidth="1"/>
    <col min="3" max="3" width="6.28515625" style="1" customWidth="1"/>
    <col min="4" max="4" width="59" style="1" customWidth="1"/>
    <col min="5" max="16384" width="9.140625" style="1"/>
  </cols>
  <sheetData>
    <row r="1" spans="1: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"/>
      <c r="B2" s="29" t="s">
        <v>17</v>
      </c>
      <c r="C2" s="29"/>
      <c r="D2" s="29" t="s">
        <v>18</v>
      </c>
      <c r="E2" s="30">
        <f t="shared" ref="E2:I2" si="0">F2-1</f>
        <v>2016</v>
      </c>
      <c r="F2" s="30">
        <f t="shared" si="0"/>
        <v>2017</v>
      </c>
      <c r="G2" s="31">
        <f t="shared" si="0"/>
        <v>2018</v>
      </c>
      <c r="H2" s="30">
        <f t="shared" si="0"/>
        <v>2019</v>
      </c>
      <c r="I2" s="30">
        <f t="shared" si="0"/>
        <v>2020</v>
      </c>
      <c r="J2" s="30">
        <f>K2-1</f>
        <v>2021</v>
      </c>
      <c r="K2" s="30">
        <v>2022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32" t="s">
        <v>19</v>
      </c>
      <c r="C3" s="33">
        <v>0.62</v>
      </c>
      <c r="D3" s="34" t="s">
        <v>20</v>
      </c>
      <c r="E3" s="35"/>
      <c r="F3" s="36">
        <f>AVERAGE(F4:F5)</f>
        <v>9.4999999999999998E-3</v>
      </c>
      <c r="G3" s="37">
        <f t="shared" ref="G3:K3" si="1">AVERAGE(G4:G5)</f>
        <v>9.4999999999999998E-3</v>
      </c>
      <c r="H3" s="36">
        <f t="shared" si="1"/>
        <v>8.5000000000000006E-3</v>
      </c>
      <c r="I3" s="36">
        <f t="shared" si="1"/>
        <v>1.2E-2</v>
      </c>
      <c r="J3" s="36">
        <f t="shared" si="1"/>
        <v>1.7500000000000002E-2</v>
      </c>
      <c r="K3" s="36">
        <f t="shared" si="1"/>
        <v>0.02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"/>
      <c r="B4" s="38"/>
      <c r="C4" s="38"/>
      <c r="D4" s="39" t="s">
        <v>21</v>
      </c>
      <c r="E4" s="40"/>
      <c r="F4" s="40">
        <f>G4</f>
        <v>1.0999999999999999E-2</v>
      </c>
      <c r="G4" s="41">
        <f>F24</f>
        <v>1.0999999999999999E-2</v>
      </c>
      <c r="H4" s="40">
        <f t="shared" ref="H4:K4" si="2">G24</f>
        <v>8.9999999999999993E-3</v>
      </c>
      <c r="I4" s="40">
        <f t="shared" si="2"/>
        <v>1.2E-2</v>
      </c>
      <c r="J4" s="40">
        <f t="shared" si="2"/>
        <v>1.7000000000000001E-2</v>
      </c>
      <c r="K4" s="42">
        <f t="shared" si="2"/>
        <v>0.02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43"/>
      <c r="C5" s="43"/>
      <c r="D5" s="44" t="s">
        <v>22</v>
      </c>
      <c r="E5" s="45"/>
      <c r="F5" s="40">
        <f>G5</f>
        <v>8.0000000000000002E-3</v>
      </c>
      <c r="G5" s="41">
        <f t="shared" ref="G5:K5" si="3">F25</f>
        <v>8.0000000000000002E-3</v>
      </c>
      <c r="H5" s="40">
        <f t="shared" si="3"/>
        <v>8.0000000000000002E-3</v>
      </c>
      <c r="I5" s="40">
        <f t="shared" si="3"/>
        <v>1.2E-2</v>
      </c>
      <c r="J5" s="40">
        <f t="shared" si="3"/>
        <v>1.7999999999999999E-2</v>
      </c>
      <c r="K5" s="42">
        <f t="shared" si="3"/>
        <v>0.02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38"/>
      <c r="C6" s="38"/>
      <c r="D6" s="39"/>
      <c r="E6" s="46"/>
      <c r="F6" s="47"/>
      <c r="G6" s="48"/>
      <c r="H6" s="47"/>
      <c r="I6" s="47"/>
      <c r="J6" s="47"/>
      <c r="K6" s="4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2"/>
      <c r="B7" s="12"/>
      <c r="C7" s="50">
        <f>1-C3</f>
        <v>0.38</v>
      </c>
      <c r="D7" s="5" t="s">
        <v>23</v>
      </c>
      <c r="E7" s="51"/>
      <c r="F7" s="52">
        <v>0</v>
      </c>
      <c r="G7" s="53">
        <v>0</v>
      </c>
      <c r="H7" s="52">
        <v>0</v>
      </c>
      <c r="I7" s="52">
        <v>0</v>
      </c>
      <c r="J7" s="52">
        <v>0</v>
      </c>
      <c r="K7" s="54"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2"/>
      <c r="B8" s="12"/>
      <c r="C8" s="12"/>
      <c r="D8" s="12"/>
      <c r="E8" s="10"/>
      <c r="F8" s="18"/>
      <c r="G8" s="22"/>
      <c r="H8" s="18"/>
      <c r="I8" s="18"/>
      <c r="J8" s="18"/>
      <c r="K8" s="5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2"/>
      <c r="B9" s="23"/>
      <c r="C9" s="23"/>
      <c r="D9" s="56" t="s">
        <v>24</v>
      </c>
      <c r="E9" s="24"/>
      <c r="F9" s="25">
        <f>$C3*F3+$C7*F7</f>
        <v>5.8899999999999994E-3</v>
      </c>
      <c r="G9" s="25">
        <f t="shared" ref="G9:J9" si="4">$C3*G3+$C7*G7</f>
        <v>5.8899999999999994E-3</v>
      </c>
      <c r="H9" s="25">
        <f t="shared" si="4"/>
        <v>5.2700000000000004E-3</v>
      </c>
      <c r="I9" s="25">
        <f t="shared" si="4"/>
        <v>7.4400000000000004E-3</v>
      </c>
      <c r="J9" s="25">
        <f t="shared" si="4"/>
        <v>1.085E-2</v>
      </c>
      <c r="K9" s="25">
        <f>$C3*K3+$C7*K7</f>
        <v>1.24E-2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23"/>
      <c r="C11" s="23"/>
      <c r="D11" s="56" t="s">
        <v>25</v>
      </c>
      <c r="E11" s="24"/>
      <c r="F11" s="57">
        <f>1+F9</f>
        <v>1.00589</v>
      </c>
      <c r="G11" s="57">
        <f>F11*(1+G9)</f>
        <v>1.0118146921</v>
      </c>
      <c r="H11" s="57">
        <f t="shared" ref="H11:J11" si="5">G11*(1+H9)</f>
        <v>1.0171469555273671</v>
      </c>
      <c r="I11" s="57">
        <f t="shared" si="5"/>
        <v>1.0247145288764905</v>
      </c>
      <c r="J11" s="57">
        <f t="shared" si="5"/>
        <v>1.0358326815148005</v>
      </c>
      <c r="K11" s="57">
        <f>J11*(1+K9)</f>
        <v>1.048677006765584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2"/>
      <c r="B14" s="2"/>
      <c r="C14" s="2"/>
      <c r="D14" s="58"/>
      <c r="E14" s="58"/>
      <c r="F14" s="58"/>
      <c r="G14" s="59"/>
      <c r="H14" s="59"/>
      <c r="I14" s="59"/>
      <c r="J14" s="59"/>
      <c r="K14" s="5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2"/>
      <c r="B16" s="2"/>
      <c r="C16" s="2"/>
      <c r="D16" s="58"/>
      <c r="E16" s="58"/>
      <c r="F16" s="58"/>
      <c r="G16" s="59"/>
      <c r="H16" s="59"/>
      <c r="I16" s="59"/>
      <c r="J16" s="59"/>
      <c r="K16" s="5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2"/>
      <c r="B18" s="2"/>
      <c r="C18" s="2"/>
      <c r="D18" s="58"/>
      <c r="E18" s="58"/>
      <c r="F18" s="58"/>
      <c r="G18" s="59"/>
      <c r="H18" s="59"/>
      <c r="I18" s="59"/>
      <c r="J18" s="59"/>
      <c r="K18" s="5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thickBot="1">
      <c r="A20" s="2"/>
      <c r="B20" s="2"/>
      <c r="C20" s="2"/>
      <c r="D20" s="213" t="s">
        <v>126</v>
      </c>
      <c r="E20"/>
      <c r="F20"/>
      <c r="G20"/>
      <c r="H20"/>
      <c r="I20"/>
      <c r="J20"/>
      <c r="K20"/>
      <c r="L20" s="60"/>
      <c r="M20" s="6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thickBot="1">
      <c r="A21" s="2"/>
      <c r="B21" s="2"/>
      <c r="C21" s="2"/>
      <c r="D21" s="204"/>
      <c r="E21" s="214"/>
      <c r="F21" s="214">
        <v>2018</v>
      </c>
      <c r="G21" s="214">
        <v>2019</v>
      </c>
      <c r="H21" s="214">
        <v>2020</v>
      </c>
      <c r="I21" s="214">
        <v>2021</v>
      </c>
      <c r="J21" s="214">
        <v>2022</v>
      </c>
      <c r="K21" s="214" t="s">
        <v>127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68.25" thickBot="1">
      <c r="A22" s="2"/>
      <c r="B22" s="2"/>
      <c r="C22" s="2"/>
      <c r="D22" s="226" t="s">
        <v>128</v>
      </c>
      <c r="E22" s="215" t="s">
        <v>129</v>
      </c>
      <c r="F22" s="216">
        <v>3.1E-2</v>
      </c>
      <c r="G22" s="216">
        <v>3.4000000000000002E-2</v>
      </c>
      <c r="H22" s="216">
        <v>3.6999999999999998E-2</v>
      </c>
      <c r="I22" s="216">
        <v>4.2000000000000003E-2</v>
      </c>
      <c r="J22" s="216">
        <v>4.4999999999999998E-2</v>
      </c>
      <c r="K22" s="216">
        <v>3.7999999999999999E-2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7.75" thickBot="1">
      <c r="A23" s="2"/>
      <c r="B23" s="2"/>
      <c r="C23" s="2"/>
      <c r="D23" s="227"/>
      <c r="E23" s="215" t="s">
        <v>130</v>
      </c>
      <c r="F23" s="216">
        <v>2.8000000000000001E-2</v>
      </c>
      <c r="G23" s="216">
        <v>3.3000000000000002E-2</v>
      </c>
      <c r="H23" s="216">
        <v>3.6999999999999998E-2</v>
      </c>
      <c r="I23" s="216">
        <v>4.2999999999999997E-2</v>
      </c>
      <c r="J23" s="216">
        <v>4.4999999999999998E-2</v>
      </c>
      <c r="K23" s="216">
        <v>3.6999999999999998E-2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68.25" thickBot="1">
      <c r="A24" s="2"/>
      <c r="B24" s="2"/>
      <c r="C24" s="2"/>
      <c r="D24" s="226" t="s">
        <v>131</v>
      </c>
      <c r="E24" s="215" t="s">
        <v>129</v>
      </c>
      <c r="F24" s="216">
        <v>1.0999999999999999E-2</v>
      </c>
      <c r="G24" s="216">
        <v>8.9999999999999993E-3</v>
      </c>
      <c r="H24" s="216">
        <v>1.2E-2</v>
      </c>
      <c r="I24" s="216">
        <v>1.7000000000000001E-2</v>
      </c>
      <c r="J24" s="216">
        <v>0.02</v>
      </c>
      <c r="K24" s="216">
        <v>1.4E-2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7.75" thickBot="1">
      <c r="A25" s="2"/>
      <c r="B25" s="2"/>
      <c r="C25" s="2"/>
      <c r="D25" s="227"/>
      <c r="E25" s="215" t="s">
        <v>130</v>
      </c>
      <c r="F25" s="216">
        <v>8.0000000000000002E-3</v>
      </c>
      <c r="G25" s="216">
        <v>8.0000000000000002E-3</v>
      </c>
      <c r="H25" s="216">
        <v>1.2E-2</v>
      </c>
      <c r="I25" s="216">
        <v>1.7999999999999999E-2</v>
      </c>
      <c r="J25" s="216">
        <v>0.02</v>
      </c>
      <c r="K25" s="216">
        <v>1.2999999999999999E-2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2"/>
      <c r="B26" s="2"/>
      <c r="C26" s="2"/>
      <c r="D26"/>
      <c r="E26"/>
      <c r="F26"/>
      <c r="G26"/>
      <c r="H26"/>
      <c r="I26"/>
      <c r="J26"/>
      <c r="K2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2"/>
      <c r="B27" s="2"/>
      <c r="C27" s="2"/>
      <c r="D27"/>
      <c r="E27"/>
      <c r="F27"/>
      <c r="G27"/>
      <c r="H27"/>
      <c r="I27"/>
      <c r="J27"/>
      <c r="K2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2.5">
      <c r="A28" s="2"/>
      <c r="B28" s="2"/>
      <c r="C28" s="2"/>
      <c r="D28" s="217" t="s">
        <v>132</v>
      </c>
      <c r="E28"/>
      <c r="F28"/>
      <c r="G28"/>
      <c r="H28"/>
      <c r="I28"/>
      <c r="J28"/>
      <c r="K2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</sheetData>
  <mergeCells count="2">
    <mergeCell ref="D22:D23"/>
    <mergeCell ref="D24:D25"/>
  </mergeCells>
  <hyperlinks>
    <hyperlink ref="D20" location="_ftn1" display="_ftn1"/>
    <hyperlink ref="D28" location="_ftnref1" display="_ftnref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B12" sqref="B12"/>
    </sheetView>
  </sheetViews>
  <sheetFormatPr defaultColWidth="9.140625" defaultRowHeight="15"/>
  <cols>
    <col min="1" max="2" width="9.140625" style="1"/>
    <col min="3" max="3" width="14.140625" style="1" bestFit="1" customWidth="1"/>
    <col min="4" max="4" width="41.7109375" style="1" bestFit="1" customWidth="1"/>
    <col min="5" max="11" width="9.140625" style="1"/>
    <col min="12" max="12" width="9.140625" style="1" customWidth="1"/>
    <col min="13" max="13" width="9.140625" style="28" customWidth="1"/>
    <col min="14" max="14" width="9.140625" style="28"/>
    <col min="15" max="15" width="28.85546875" style="28" bestFit="1" customWidth="1"/>
    <col min="16" max="16" width="15" style="28" bestFit="1" customWidth="1"/>
    <col min="17" max="22" width="9.140625" style="28"/>
    <col min="23" max="16384" width="9.140625" style="1"/>
  </cols>
  <sheetData>
    <row r="1" spans="1:22" s="28" customFormat="1">
      <c r="A1" s="2"/>
      <c r="B1" s="2"/>
      <c r="C1" s="2"/>
      <c r="D1" s="2"/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2">
        <v>2022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28" customFormat="1" ht="15" customHeight="1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28" customFormat="1" ht="15" customHeight="1">
      <c r="A3" s="2"/>
      <c r="B3" s="228" t="s">
        <v>135</v>
      </c>
      <c r="C3" s="4" t="s">
        <v>9</v>
      </c>
      <c r="D3" s="5" t="s">
        <v>10</v>
      </c>
      <c r="E3" s="6">
        <v>694257.79108371551</v>
      </c>
      <c r="F3" s="6">
        <v>697316.6179893954</v>
      </c>
      <c r="G3" s="7">
        <v>700864.52056849364</v>
      </c>
      <c r="H3" s="6">
        <v>704501.49403966451</v>
      </c>
      <c r="I3" s="6">
        <v>708153.64468572242</v>
      </c>
      <c r="J3" s="6">
        <v>711570.96867112827</v>
      </c>
      <c r="K3" s="6">
        <v>715071.46651405969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28" customFormat="1">
      <c r="A4" s="2"/>
      <c r="B4" s="228"/>
      <c r="C4" s="8"/>
      <c r="D4" s="9" t="s">
        <v>11</v>
      </c>
      <c r="E4" s="10"/>
      <c r="F4" s="10"/>
      <c r="G4" s="11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28" customFormat="1">
      <c r="A5" s="2"/>
      <c r="B5" s="228"/>
      <c r="C5" s="12"/>
      <c r="D5" s="5" t="s">
        <v>14</v>
      </c>
      <c r="E5" s="6">
        <v>10016.538</v>
      </c>
      <c r="F5" s="6">
        <v>10093.665342600001</v>
      </c>
      <c r="G5" s="7">
        <v>10171.386565738021</v>
      </c>
      <c r="H5" s="6">
        <v>10249.706242294204</v>
      </c>
      <c r="I5" s="6">
        <v>10328.62898035987</v>
      </c>
      <c r="J5" s="6">
        <v>10408.159423508641</v>
      </c>
      <c r="K5" s="6">
        <v>10488.302251069659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28" customFormat="1">
      <c r="A6" s="2"/>
      <c r="B6" s="228"/>
      <c r="C6" s="12"/>
      <c r="D6" s="13" t="s">
        <v>15</v>
      </c>
      <c r="E6" s="10"/>
      <c r="F6" s="10"/>
      <c r="G6" s="11"/>
      <c r="H6" s="10"/>
      <c r="I6" s="10"/>
      <c r="J6" s="10"/>
      <c r="K6" s="10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28" customFormat="1">
      <c r="A7" s="2"/>
      <c r="B7" s="228"/>
      <c r="C7" s="12"/>
      <c r="D7" s="14"/>
      <c r="E7" s="15"/>
      <c r="F7" s="15"/>
      <c r="G7" s="16"/>
      <c r="H7" s="15"/>
      <c r="I7" s="15"/>
      <c r="J7" s="15"/>
      <c r="K7" s="15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s="28" customFormat="1">
      <c r="A8" s="2"/>
      <c r="B8" s="228"/>
      <c r="C8" s="17">
        <v>0.45</v>
      </c>
      <c r="D8" s="12" t="s">
        <v>12</v>
      </c>
      <c r="E8" s="10"/>
      <c r="F8" s="18">
        <f t="shared" ref="F8:K8" si="0">(F3-E3)/E3</f>
        <v>4.4058949643260787E-3</v>
      </c>
      <c r="G8" s="19">
        <f t="shared" si="0"/>
        <v>5.0879363657330718E-3</v>
      </c>
      <c r="H8" s="20">
        <f t="shared" si="0"/>
        <v>5.1892674895581926E-3</v>
      </c>
      <c r="I8" s="20">
        <f t="shared" si="0"/>
        <v>5.1840211510641443E-3</v>
      </c>
      <c r="J8" s="20">
        <f t="shared" si="0"/>
        <v>4.8256815608460953E-3</v>
      </c>
      <c r="K8" s="20">
        <f t="shared" si="0"/>
        <v>4.9193938441146143E-3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s="28" customFormat="1">
      <c r="A9" s="2"/>
      <c r="B9" s="228"/>
      <c r="C9" s="21">
        <f>1-C8</f>
        <v>0.55000000000000004</v>
      </c>
      <c r="D9" s="12" t="s">
        <v>16</v>
      </c>
      <c r="E9" s="10"/>
      <c r="F9" s="18">
        <f t="shared" ref="F9:K9" si="1">(F5-E5)/E5</f>
        <v>7.7000000000000696E-3</v>
      </c>
      <c r="G9" s="19">
        <f t="shared" si="1"/>
        <v>7.6999999999999916E-3</v>
      </c>
      <c r="H9" s="20">
        <f t="shared" si="1"/>
        <v>7.6999999999999699E-3</v>
      </c>
      <c r="I9" s="20">
        <f t="shared" si="1"/>
        <v>7.7000000000001234E-3</v>
      </c>
      <c r="J9" s="20">
        <f t="shared" si="1"/>
        <v>7.700000000000015E-3</v>
      </c>
      <c r="K9" s="20">
        <f t="shared" si="1"/>
        <v>7.7000000000001251E-3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s="28" customFormat="1">
      <c r="A10" s="2"/>
      <c r="B10" s="228"/>
      <c r="C10" s="12"/>
      <c r="D10" s="12"/>
      <c r="E10" s="10"/>
      <c r="F10" s="18"/>
      <c r="G10" s="22"/>
      <c r="H10" s="18"/>
      <c r="I10" s="18"/>
      <c r="J10" s="18"/>
      <c r="K10" s="1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28" customFormat="1">
      <c r="A11" s="2"/>
      <c r="B11" s="228"/>
      <c r="C11" s="23" t="s">
        <v>9</v>
      </c>
      <c r="D11" s="23" t="s">
        <v>13</v>
      </c>
      <c r="E11" s="24"/>
      <c r="F11" s="25">
        <f>$C9*F9+$C8*F8</f>
        <v>6.2176527339467737E-3</v>
      </c>
      <c r="G11" s="26">
        <f>$C9*G9+$C8*G8</f>
        <v>6.5245713645798783E-3</v>
      </c>
      <c r="H11" s="25">
        <f t="shared" ref="H11:I11" si="2">$C9*H9+$C8*H8</f>
        <v>6.5701703703011701E-3</v>
      </c>
      <c r="I11" s="25">
        <f t="shared" si="2"/>
        <v>6.5678095179789332E-3</v>
      </c>
      <c r="J11" s="25">
        <f>$C9*J9+$C8*J8</f>
        <v>6.4065567023807515E-3</v>
      </c>
      <c r="K11" s="25">
        <f t="shared" ref="K11" si="3">$C9*K9+$C8*K8</f>
        <v>6.448727229851646E-3</v>
      </c>
      <c r="L11" s="2"/>
      <c r="M11" s="27"/>
      <c r="N11" s="2"/>
      <c r="O11" s="2"/>
      <c r="P11" s="2"/>
      <c r="Q11" s="2"/>
      <c r="R11" s="2"/>
      <c r="S11" s="2"/>
      <c r="T11" s="2"/>
      <c r="U11" s="2"/>
      <c r="V11" s="2"/>
    </row>
    <row r="12" spans="1:22" s="28" customForma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2"/>
      <c r="Q68" s="2"/>
      <c r="R68" s="2"/>
      <c r="S68" s="2"/>
      <c r="T68" s="2"/>
      <c r="U68" s="2"/>
      <c r="V68" s="2"/>
    </row>
  </sheetData>
  <mergeCells count="1">
    <mergeCell ref="B3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63"/>
  <sheetViews>
    <sheetView zoomScale="70" zoomScaleNormal="70" workbookViewId="0">
      <pane xSplit="2" topLeftCell="C1" activePane="topRight" state="frozen"/>
      <selection pane="topRight" activeCell="R33" sqref="R33"/>
    </sheetView>
  </sheetViews>
  <sheetFormatPr defaultRowHeight="12.75"/>
  <cols>
    <col min="1" max="1" width="21" style="152" bestFit="1" customWidth="1"/>
    <col min="2" max="26" width="9.140625" style="152" customWidth="1"/>
    <col min="27" max="28" width="8.85546875" style="152"/>
    <col min="29" max="30" width="9.140625" style="152" customWidth="1"/>
    <col min="31" max="256" width="8.85546875" style="152"/>
    <col min="257" max="257" width="21" style="152" bestFit="1" customWidth="1"/>
    <col min="258" max="271" width="8.85546875" style="152"/>
    <col min="272" max="274" width="9.5703125" style="152" bestFit="1" customWidth="1"/>
    <col min="275" max="275" width="11.42578125" style="152" bestFit="1" customWidth="1"/>
    <col min="276" max="277" width="8.85546875" style="152"/>
    <col min="278" max="278" width="10.28515625" style="152" bestFit="1" customWidth="1"/>
    <col min="279" max="512" width="8.85546875" style="152"/>
    <col min="513" max="513" width="21" style="152" bestFit="1" customWidth="1"/>
    <col min="514" max="527" width="8.85546875" style="152"/>
    <col min="528" max="530" width="9.5703125" style="152" bestFit="1" customWidth="1"/>
    <col min="531" max="531" width="11.42578125" style="152" bestFit="1" customWidth="1"/>
    <col min="532" max="533" width="8.85546875" style="152"/>
    <col min="534" max="534" width="10.28515625" style="152" bestFit="1" customWidth="1"/>
    <col min="535" max="768" width="8.85546875" style="152"/>
    <col min="769" max="769" width="21" style="152" bestFit="1" customWidth="1"/>
    <col min="770" max="783" width="8.85546875" style="152"/>
    <col min="784" max="786" width="9.5703125" style="152" bestFit="1" customWidth="1"/>
    <col min="787" max="787" width="11.42578125" style="152" bestFit="1" customWidth="1"/>
    <col min="788" max="789" width="8.85546875" style="152"/>
    <col min="790" max="790" width="10.28515625" style="152" bestFit="1" customWidth="1"/>
    <col min="791" max="1024" width="8.85546875" style="152"/>
    <col min="1025" max="1025" width="21" style="152" bestFit="1" customWidth="1"/>
    <col min="1026" max="1039" width="8.85546875" style="152"/>
    <col min="1040" max="1042" width="9.5703125" style="152" bestFit="1" customWidth="1"/>
    <col min="1043" max="1043" width="11.42578125" style="152" bestFit="1" customWidth="1"/>
    <col min="1044" max="1045" width="8.85546875" style="152"/>
    <col min="1046" max="1046" width="10.28515625" style="152" bestFit="1" customWidth="1"/>
    <col min="1047" max="1280" width="8.85546875" style="152"/>
    <col min="1281" max="1281" width="21" style="152" bestFit="1" customWidth="1"/>
    <col min="1282" max="1295" width="8.85546875" style="152"/>
    <col min="1296" max="1298" width="9.5703125" style="152" bestFit="1" customWidth="1"/>
    <col min="1299" max="1299" width="11.42578125" style="152" bestFit="1" customWidth="1"/>
    <col min="1300" max="1301" width="8.85546875" style="152"/>
    <col min="1302" max="1302" width="10.28515625" style="152" bestFit="1" customWidth="1"/>
    <col min="1303" max="1536" width="8.85546875" style="152"/>
    <col min="1537" max="1537" width="21" style="152" bestFit="1" customWidth="1"/>
    <col min="1538" max="1551" width="8.85546875" style="152"/>
    <col min="1552" max="1554" width="9.5703125" style="152" bestFit="1" customWidth="1"/>
    <col min="1555" max="1555" width="11.42578125" style="152" bestFit="1" customWidth="1"/>
    <col min="1556" max="1557" width="8.85546875" style="152"/>
    <col min="1558" max="1558" width="10.28515625" style="152" bestFit="1" customWidth="1"/>
    <col min="1559" max="1792" width="8.85546875" style="152"/>
    <col min="1793" max="1793" width="21" style="152" bestFit="1" customWidth="1"/>
    <col min="1794" max="1807" width="8.85546875" style="152"/>
    <col min="1808" max="1810" width="9.5703125" style="152" bestFit="1" customWidth="1"/>
    <col min="1811" max="1811" width="11.42578125" style="152" bestFit="1" customWidth="1"/>
    <col min="1812" max="1813" width="8.85546875" style="152"/>
    <col min="1814" max="1814" width="10.28515625" style="152" bestFit="1" customWidth="1"/>
    <col min="1815" max="2048" width="8.85546875" style="152"/>
    <col min="2049" max="2049" width="21" style="152" bestFit="1" customWidth="1"/>
    <col min="2050" max="2063" width="8.85546875" style="152"/>
    <col min="2064" max="2066" width="9.5703125" style="152" bestFit="1" customWidth="1"/>
    <col min="2067" max="2067" width="11.42578125" style="152" bestFit="1" customWidth="1"/>
    <col min="2068" max="2069" width="8.85546875" style="152"/>
    <col min="2070" max="2070" width="10.28515625" style="152" bestFit="1" customWidth="1"/>
    <col min="2071" max="2304" width="8.85546875" style="152"/>
    <col min="2305" max="2305" width="21" style="152" bestFit="1" customWidth="1"/>
    <col min="2306" max="2319" width="8.85546875" style="152"/>
    <col min="2320" max="2322" width="9.5703125" style="152" bestFit="1" customWidth="1"/>
    <col min="2323" max="2323" width="11.42578125" style="152" bestFit="1" customWidth="1"/>
    <col min="2324" max="2325" width="8.85546875" style="152"/>
    <col min="2326" max="2326" width="10.28515625" style="152" bestFit="1" customWidth="1"/>
    <col min="2327" max="2560" width="8.85546875" style="152"/>
    <col min="2561" max="2561" width="21" style="152" bestFit="1" customWidth="1"/>
    <col min="2562" max="2575" width="8.85546875" style="152"/>
    <col min="2576" max="2578" width="9.5703125" style="152" bestFit="1" customWidth="1"/>
    <col min="2579" max="2579" width="11.42578125" style="152" bestFit="1" customWidth="1"/>
    <col min="2580" max="2581" width="8.85546875" style="152"/>
    <col min="2582" max="2582" width="10.28515625" style="152" bestFit="1" customWidth="1"/>
    <col min="2583" max="2816" width="8.85546875" style="152"/>
    <col min="2817" max="2817" width="21" style="152" bestFit="1" customWidth="1"/>
    <col min="2818" max="2831" width="8.85546875" style="152"/>
    <col min="2832" max="2834" width="9.5703125" style="152" bestFit="1" customWidth="1"/>
    <col min="2835" max="2835" width="11.42578125" style="152" bestFit="1" customWidth="1"/>
    <col min="2836" max="2837" width="8.85546875" style="152"/>
    <col min="2838" max="2838" width="10.28515625" style="152" bestFit="1" customWidth="1"/>
    <col min="2839" max="3072" width="8.85546875" style="152"/>
    <col min="3073" max="3073" width="21" style="152" bestFit="1" customWidth="1"/>
    <col min="3074" max="3087" width="8.85546875" style="152"/>
    <col min="3088" max="3090" width="9.5703125" style="152" bestFit="1" customWidth="1"/>
    <col min="3091" max="3091" width="11.42578125" style="152" bestFit="1" customWidth="1"/>
    <col min="3092" max="3093" width="8.85546875" style="152"/>
    <col min="3094" max="3094" width="10.28515625" style="152" bestFit="1" customWidth="1"/>
    <col min="3095" max="3328" width="8.85546875" style="152"/>
    <col min="3329" max="3329" width="21" style="152" bestFit="1" customWidth="1"/>
    <col min="3330" max="3343" width="8.85546875" style="152"/>
    <col min="3344" max="3346" width="9.5703125" style="152" bestFit="1" customWidth="1"/>
    <col min="3347" max="3347" width="11.42578125" style="152" bestFit="1" customWidth="1"/>
    <col min="3348" max="3349" width="8.85546875" style="152"/>
    <col min="3350" max="3350" width="10.28515625" style="152" bestFit="1" customWidth="1"/>
    <col min="3351" max="3584" width="8.85546875" style="152"/>
    <col min="3585" max="3585" width="21" style="152" bestFit="1" customWidth="1"/>
    <col min="3586" max="3599" width="8.85546875" style="152"/>
    <col min="3600" max="3602" width="9.5703125" style="152" bestFit="1" customWidth="1"/>
    <col min="3603" max="3603" width="11.42578125" style="152" bestFit="1" customWidth="1"/>
    <col min="3604" max="3605" width="8.85546875" style="152"/>
    <col min="3606" max="3606" width="10.28515625" style="152" bestFit="1" customWidth="1"/>
    <col min="3607" max="3840" width="8.85546875" style="152"/>
    <col min="3841" max="3841" width="21" style="152" bestFit="1" customWidth="1"/>
    <col min="3842" max="3855" width="8.85546875" style="152"/>
    <col min="3856" max="3858" width="9.5703125" style="152" bestFit="1" customWidth="1"/>
    <col min="3859" max="3859" width="11.42578125" style="152" bestFit="1" customWidth="1"/>
    <col min="3860" max="3861" width="8.85546875" style="152"/>
    <col min="3862" max="3862" width="10.28515625" style="152" bestFit="1" customWidth="1"/>
    <col min="3863" max="4096" width="8.85546875" style="152"/>
    <col min="4097" max="4097" width="21" style="152" bestFit="1" customWidth="1"/>
    <col min="4098" max="4111" width="8.85546875" style="152"/>
    <col min="4112" max="4114" width="9.5703125" style="152" bestFit="1" customWidth="1"/>
    <col min="4115" max="4115" width="11.42578125" style="152" bestFit="1" customWidth="1"/>
    <col min="4116" max="4117" width="8.85546875" style="152"/>
    <col min="4118" max="4118" width="10.28515625" style="152" bestFit="1" customWidth="1"/>
    <col min="4119" max="4352" width="8.85546875" style="152"/>
    <col min="4353" max="4353" width="21" style="152" bestFit="1" customWidth="1"/>
    <col min="4354" max="4367" width="8.85546875" style="152"/>
    <col min="4368" max="4370" width="9.5703125" style="152" bestFit="1" customWidth="1"/>
    <col min="4371" max="4371" width="11.42578125" style="152" bestFit="1" customWidth="1"/>
    <col min="4372" max="4373" width="8.85546875" style="152"/>
    <col min="4374" max="4374" width="10.28515625" style="152" bestFit="1" customWidth="1"/>
    <col min="4375" max="4608" width="8.85546875" style="152"/>
    <col min="4609" max="4609" width="21" style="152" bestFit="1" customWidth="1"/>
    <col min="4610" max="4623" width="8.85546875" style="152"/>
    <col min="4624" max="4626" width="9.5703125" style="152" bestFit="1" customWidth="1"/>
    <col min="4627" max="4627" width="11.42578125" style="152" bestFit="1" customWidth="1"/>
    <col min="4628" max="4629" width="8.85546875" style="152"/>
    <col min="4630" max="4630" width="10.28515625" style="152" bestFit="1" customWidth="1"/>
    <col min="4631" max="4864" width="8.85546875" style="152"/>
    <col min="4865" max="4865" width="21" style="152" bestFit="1" customWidth="1"/>
    <col min="4866" max="4879" width="8.85546875" style="152"/>
    <col min="4880" max="4882" width="9.5703125" style="152" bestFit="1" customWidth="1"/>
    <col min="4883" max="4883" width="11.42578125" style="152" bestFit="1" customWidth="1"/>
    <col min="4884" max="4885" width="8.85546875" style="152"/>
    <col min="4886" max="4886" width="10.28515625" style="152" bestFit="1" customWidth="1"/>
    <col min="4887" max="5120" width="8.85546875" style="152"/>
    <col min="5121" max="5121" width="21" style="152" bestFit="1" customWidth="1"/>
    <col min="5122" max="5135" width="8.85546875" style="152"/>
    <col min="5136" max="5138" width="9.5703125" style="152" bestFit="1" customWidth="1"/>
    <col min="5139" max="5139" width="11.42578125" style="152" bestFit="1" customWidth="1"/>
    <col min="5140" max="5141" width="8.85546875" style="152"/>
    <col min="5142" max="5142" width="10.28515625" style="152" bestFit="1" customWidth="1"/>
    <col min="5143" max="5376" width="8.85546875" style="152"/>
    <col min="5377" max="5377" width="21" style="152" bestFit="1" customWidth="1"/>
    <col min="5378" max="5391" width="8.85546875" style="152"/>
    <col min="5392" max="5394" width="9.5703125" style="152" bestFit="1" customWidth="1"/>
    <col min="5395" max="5395" width="11.42578125" style="152" bestFit="1" customWidth="1"/>
    <col min="5396" max="5397" width="8.85546875" style="152"/>
    <col min="5398" max="5398" width="10.28515625" style="152" bestFit="1" customWidth="1"/>
    <col min="5399" max="5632" width="8.85546875" style="152"/>
    <col min="5633" max="5633" width="21" style="152" bestFit="1" customWidth="1"/>
    <col min="5634" max="5647" width="8.85546875" style="152"/>
    <col min="5648" max="5650" width="9.5703125" style="152" bestFit="1" customWidth="1"/>
    <col min="5651" max="5651" width="11.42578125" style="152" bestFit="1" customWidth="1"/>
    <col min="5652" max="5653" width="8.85546875" style="152"/>
    <col min="5654" max="5654" width="10.28515625" style="152" bestFit="1" customWidth="1"/>
    <col min="5655" max="5888" width="8.85546875" style="152"/>
    <col min="5889" max="5889" width="21" style="152" bestFit="1" customWidth="1"/>
    <col min="5890" max="5903" width="8.85546875" style="152"/>
    <col min="5904" max="5906" width="9.5703125" style="152" bestFit="1" customWidth="1"/>
    <col min="5907" max="5907" width="11.42578125" style="152" bestFit="1" customWidth="1"/>
    <col min="5908" max="5909" width="8.85546875" style="152"/>
    <col min="5910" max="5910" width="10.28515625" style="152" bestFit="1" customWidth="1"/>
    <col min="5911" max="6144" width="8.85546875" style="152"/>
    <col min="6145" max="6145" width="21" style="152" bestFit="1" customWidth="1"/>
    <col min="6146" max="6159" width="8.85546875" style="152"/>
    <col min="6160" max="6162" width="9.5703125" style="152" bestFit="1" customWidth="1"/>
    <col min="6163" max="6163" width="11.42578125" style="152" bestFit="1" customWidth="1"/>
    <col min="6164" max="6165" width="8.85546875" style="152"/>
    <col min="6166" max="6166" width="10.28515625" style="152" bestFit="1" customWidth="1"/>
    <col min="6167" max="6400" width="8.85546875" style="152"/>
    <col min="6401" max="6401" width="21" style="152" bestFit="1" customWidth="1"/>
    <col min="6402" max="6415" width="8.85546875" style="152"/>
    <col min="6416" max="6418" width="9.5703125" style="152" bestFit="1" customWidth="1"/>
    <col min="6419" max="6419" width="11.42578125" style="152" bestFit="1" customWidth="1"/>
    <col min="6420" max="6421" width="8.85546875" style="152"/>
    <col min="6422" max="6422" width="10.28515625" style="152" bestFit="1" customWidth="1"/>
    <col min="6423" max="6656" width="8.85546875" style="152"/>
    <col min="6657" max="6657" width="21" style="152" bestFit="1" customWidth="1"/>
    <col min="6658" max="6671" width="8.85546875" style="152"/>
    <col min="6672" max="6674" width="9.5703125" style="152" bestFit="1" customWidth="1"/>
    <col min="6675" max="6675" width="11.42578125" style="152" bestFit="1" customWidth="1"/>
    <col min="6676" max="6677" width="8.85546875" style="152"/>
    <col min="6678" max="6678" width="10.28515625" style="152" bestFit="1" customWidth="1"/>
    <col min="6679" max="6912" width="8.85546875" style="152"/>
    <col min="6913" max="6913" width="21" style="152" bestFit="1" customWidth="1"/>
    <col min="6914" max="6927" width="8.85546875" style="152"/>
    <col min="6928" max="6930" width="9.5703125" style="152" bestFit="1" customWidth="1"/>
    <col min="6931" max="6931" width="11.42578125" style="152" bestFit="1" customWidth="1"/>
    <col min="6932" max="6933" width="8.85546875" style="152"/>
    <col min="6934" max="6934" width="10.28515625" style="152" bestFit="1" customWidth="1"/>
    <col min="6935" max="7168" width="8.85546875" style="152"/>
    <col min="7169" max="7169" width="21" style="152" bestFit="1" customWidth="1"/>
    <col min="7170" max="7183" width="8.85546875" style="152"/>
    <col min="7184" max="7186" width="9.5703125" style="152" bestFit="1" customWidth="1"/>
    <col min="7187" max="7187" width="11.42578125" style="152" bestFit="1" customWidth="1"/>
    <col min="7188" max="7189" width="8.85546875" style="152"/>
    <col min="7190" max="7190" width="10.28515625" style="152" bestFit="1" customWidth="1"/>
    <col min="7191" max="7424" width="8.85546875" style="152"/>
    <col min="7425" max="7425" width="21" style="152" bestFit="1" customWidth="1"/>
    <col min="7426" max="7439" width="8.85546875" style="152"/>
    <col min="7440" max="7442" width="9.5703125" style="152" bestFit="1" customWidth="1"/>
    <col min="7443" max="7443" width="11.42578125" style="152" bestFit="1" customWidth="1"/>
    <col min="7444" max="7445" width="8.85546875" style="152"/>
    <col min="7446" max="7446" width="10.28515625" style="152" bestFit="1" customWidth="1"/>
    <col min="7447" max="7680" width="8.85546875" style="152"/>
    <col min="7681" max="7681" width="21" style="152" bestFit="1" customWidth="1"/>
    <col min="7682" max="7695" width="8.85546875" style="152"/>
    <col min="7696" max="7698" width="9.5703125" style="152" bestFit="1" customWidth="1"/>
    <col min="7699" max="7699" width="11.42578125" style="152" bestFit="1" customWidth="1"/>
    <col min="7700" max="7701" width="8.85546875" style="152"/>
    <col min="7702" max="7702" width="10.28515625" style="152" bestFit="1" customWidth="1"/>
    <col min="7703" max="7936" width="8.85546875" style="152"/>
    <col min="7937" max="7937" width="21" style="152" bestFit="1" customWidth="1"/>
    <col min="7938" max="7951" width="8.85546875" style="152"/>
    <col min="7952" max="7954" width="9.5703125" style="152" bestFit="1" customWidth="1"/>
    <col min="7955" max="7955" width="11.42578125" style="152" bestFit="1" customWidth="1"/>
    <col min="7956" max="7957" width="8.85546875" style="152"/>
    <col min="7958" max="7958" width="10.28515625" style="152" bestFit="1" customWidth="1"/>
    <col min="7959" max="8192" width="8.85546875" style="152"/>
    <col min="8193" max="8193" width="21" style="152" bestFit="1" customWidth="1"/>
    <col min="8194" max="8207" width="8.85546875" style="152"/>
    <col min="8208" max="8210" width="9.5703125" style="152" bestFit="1" customWidth="1"/>
    <col min="8211" max="8211" width="11.42578125" style="152" bestFit="1" customWidth="1"/>
    <col min="8212" max="8213" width="8.85546875" style="152"/>
    <col min="8214" max="8214" width="10.28515625" style="152" bestFit="1" customWidth="1"/>
    <col min="8215" max="8448" width="8.85546875" style="152"/>
    <col min="8449" max="8449" width="21" style="152" bestFit="1" customWidth="1"/>
    <col min="8450" max="8463" width="8.85546875" style="152"/>
    <col min="8464" max="8466" width="9.5703125" style="152" bestFit="1" customWidth="1"/>
    <col min="8467" max="8467" width="11.42578125" style="152" bestFit="1" customWidth="1"/>
    <col min="8468" max="8469" width="8.85546875" style="152"/>
    <col min="8470" max="8470" width="10.28515625" style="152" bestFit="1" customWidth="1"/>
    <col min="8471" max="8704" width="8.85546875" style="152"/>
    <col min="8705" max="8705" width="21" style="152" bestFit="1" customWidth="1"/>
    <col min="8706" max="8719" width="8.85546875" style="152"/>
    <col min="8720" max="8722" width="9.5703125" style="152" bestFit="1" customWidth="1"/>
    <col min="8723" max="8723" width="11.42578125" style="152" bestFit="1" customWidth="1"/>
    <col min="8724" max="8725" width="8.85546875" style="152"/>
    <col min="8726" max="8726" width="10.28515625" style="152" bestFit="1" customWidth="1"/>
    <col min="8727" max="8960" width="8.85546875" style="152"/>
    <col min="8961" max="8961" width="21" style="152" bestFit="1" customWidth="1"/>
    <col min="8962" max="8975" width="8.85546875" style="152"/>
    <col min="8976" max="8978" width="9.5703125" style="152" bestFit="1" customWidth="1"/>
    <col min="8979" max="8979" width="11.42578125" style="152" bestFit="1" customWidth="1"/>
    <col min="8980" max="8981" width="8.85546875" style="152"/>
    <col min="8982" max="8982" width="10.28515625" style="152" bestFit="1" customWidth="1"/>
    <col min="8983" max="9216" width="8.85546875" style="152"/>
    <col min="9217" max="9217" width="21" style="152" bestFit="1" customWidth="1"/>
    <col min="9218" max="9231" width="8.85546875" style="152"/>
    <col min="9232" max="9234" width="9.5703125" style="152" bestFit="1" customWidth="1"/>
    <col min="9235" max="9235" width="11.42578125" style="152" bestFit="1" customWidth="1"/>
    <col min="9236" max="9237" width="8.85546875" style="152"/>
    <col min="9238" max="9238" width="10.28515625" style="152" bestFit="1" customWidth="1"/>
    <col min="9239" max="9472" width="8.85546875" style="152"/>
    <col min="9473" max="9473" width="21" style="152" bestFit="1" customWidth="1"/>
    <col min="9474" max="9487" width="8.85546875" style="152"/>
    <col min="9488" max="9490" width="9.5703125" style="152" bestFit="1" customWidth="1"/>
    <col min="9491" max="9491" width="11.42578125" style="152" bestFit="1" customWidth="1"/>
    <col min="9492" max="9493" width="8.85546875" style="152"/>
    <col min="9494" max="9494" width="10.28515625" style="152" bestFit="1" customWidth="1"/>
    <col min="9495" max="9728" width="8.85546875" style="152"/>
    <col min="9729" max="9729" width="21" style="152" bestFit="1" customWidth="1"/>
    <col min="9730" max="9743" width="8.85546875" style="152"/>
    <col min="9744" max="9746" width="9.5703125" style="152" bestFit="1" customWidth="1"/>
    <col min="9747" max="9747" width="11.42578125" style="152" bestFit="1" customWidth="1"/>
    <col min="9748" max="9749" width="8.85546875" style="152"/>
    <col min="9750" max="9750" width="10.28515625" style="152" bestFit="1" customWidth="1"/>
    <col min="9751" max="9984" width="8.85546875" style="152"/>
    <col min="9985" max="9985" width="21" style="152" bestFit="1" customWidth="1"/>
    <col min="9986" max="9999" width="8.85546875" style="152"/>
    <col min="10000" max="10002" width="9.5703125" style="152" bestFit="1" customWidth="1"/>
    <col min="10003" max="10003" width="11.42578125" style="152" bestFit="1" customWidth="1"/>
    <col min="10004" max="10005" width="8.85546875" style="152"/>
    <col min="10006" max="10006" width="10.28515625" style="152" bestFit="1" customWidth="1"/>
    <col min="10007" max="10240" width="8.85546875" style="152"/>
    <col min="10241" max="10241" width="21" style="152" bestFit="1" customWidth="1"/>
    <col min="10242" max="10255" width="8.85546875" style="152"/>
    <col min="10256" max="10258" width="9.5703125" style="152" bestFit="1" customWidth="1"/>
    <col min="10259" max="10259" width="11.42578125" style="152" bestFit="1" customWidth="1"/>
    <col min="10260" max="10261" width="8.85546875" style="152"/>
    <col min="10262" max="10262" width="10.28515625" style="152" bestFit="1" customWidth="1"/>
    <col min="10263" max="10496" width="8.85546875" style="152"/>
    <col min="10497" max="10497" width="21" style="152" bestFit="1" customWidth="1"/>
    <col min="10498" max="10511" width="8.85546875" style="152"/>
    <col min="10512" max="10514" width="9.5703125" style="152" bestFit="1" customWidth="1"/>
    <col min="10515" max="10515" width="11.42578125" style="152" bestFit="1" customWidth="1"/>
    <col min="10516" max="10517" width="8.85546875" style="152"/>
    <col min="10518" max="10518" width="10.28515625" style="152" bestFit="1" customWidth="1"/>
    <col min="10519" max="10752" width="8.85546875" style="152"/>
    <col min="10753" max="10753" width="21" style="152" bestFit="1" customWidth="1"/>
    <col min="10754" max="10767" width="8.85546875" style="152"/>
    <col min="10768" max="10770" width="9.5703125" style="152" bestFit="1" customWidth="1"/>
    <col min="10771" max="10771" width="11.42578125" style="152" bestFit="1" customWidth="1"/>
    <col min="10772" max="10773" width="8.85546875" style="152"/>
    <col min="10774" max="10774" width="10.28515625" style="152" bestFit="1" customWidth="1"/>
    <col min="10775" max="11008" width="8.85546875" style="152"/>
    <col min="11009" max="11009" width="21" style="152" bestFit="1" customWidth="1"/>
    <col min="11010" max="11023" width="8.85546875" style="152"/>
    <col min="11024" max="11026" width="9.5703125" style="152" bestFit="1" customWidth="1"/>
    <col min="11027" max="11027" width="11.42578125" style="152" bestFit="1" customWidth="1"/>
    <col min="11028" max="11029" width="8.85546875" style="152"/>
    <col min="11030" max="11030" width="10.28515625" style="152" bestFit="1" customWidth="1"/>
    <col min="11031" max="11264" width="8.85546875" style="152"/>
    <col min="11265" max="11265" width="21" style="152" bestFit="1" customWidth="1"/>
    <col min="11266" max="11279" width="8.85546875" style="152"/>
    <col min="11280" max="11282" width="9.5703125" style="152" bestFit="1" customWidth="1"/>
    <col min="11283" max="11283" width="11.42578125" style="152" bestFit="1" customWidth="1"/>
    <col min="11284" max="11285" width="8.85546875" style="152"/>
    <col min="11286" max="11286" width="10.28515625" style="152" bestFit="1" customWidth="1"/>
    <col min="11287" max="11520" width="8.85546875" style="152"/>
    <col min="11521" max="11521" width="21" style="152" bestFit="1" customWidth="1"/>
    <col min="11522" max="11535" width="8.85546875" style="152"/>
    <col min="11536" max="11538" width="9.5703125" style="152" bestFit="1" customWidth="1"/>
    <col min="11539" max="11539" width="11.42578125" style="152" bestFit="1" customWidth="1"/>
    <col min="11540" max="11541" width="8.85546875" style="152"/>
    <col min="11542" max="11542" width="10.28515625" style="152" bestFit="1" customWidth="1"/>
    <col min="11543" max="11776" width="8.85546875" style="152"/>
    <col min="11777" max="11777" width="21" style="152" bestFit="1" customWidth="1"/>
    <col min="11778" max="11791" width="8.85546875" style="152"/>
    <col min="11792" max="11794" width="9.5703125" style="152" bestFit="1" customWidth="1"/>
    <col min="11795" max="11795" width="11.42578125" style="152" bestFit="1" customWidth="1"/>
    <col min="11796" max="11797" width="8.85546875" style="152"/>
    <col min="11798" max="11798" width="10.28515625" style="152" bestFit="1" customWidth="1"/>
    <col min="11799" max="12032" width="8.85546875" style="152"/>
    <col min="12033" max="12033" width="21" style="152" bestFit="1" customWidth="1"/>
    <col min="12034" max="12047" width="8.85546875" style="152"/>
    <col min="12048" max="12050" width="9.5703125" style="152" bestFit="1" customWidth="1"/>
    <col min="12051" max="12051" width="11.42578125" style="152" bestFit="1" customWidth="1"/>
    <col min="12052" max="12053" width="8.85546875" style="152"/>
    <col min="12054" max="12054" width="10.28515625" style="152" bestFit="1" customWidth="1"/>
    <col min="12055" max="12288" width="8.85546875" style="152"/>
    <col min="12289" max="12289" width="21" style="152" bestFit="1" customWidth="1"/>
    <col min="12290" max="12303" width="8.85546875" style="152"/>
    <col min="12304" max="12306" width="9.5703125" style="152" bestFit="1" customWidth="1"/>
    <col min="12307" max="12307" width="11.42578125" style="152" bestFit="1" customWidth="1"/>
    <col min="12308" max="12309" width="8.85546875" style="152"/>
    <col min="12310" max="12310" width="10.28515625" style="152" bestFit="1" customWidth="1"/>
    <col min="12311" max="12544" width="8.85546875" style="152"/>
    <col min="12545" max="12545" width="21" style="152" bestFit="1" customWidth="1"/>
    <col min="12546" max="12559" width="8.85546875" style="152"/>
    <col min="12560" max="12562" width="9.5703125" style="152" bestFit="1" customWidth="1"/>
    <col min="12563" max="12563" width="11.42578125" style="152" bestFit="1" customWidth="1"/>
    <col min="12564" max="12565" width="8.85546875" style="152"/>
    <col min="12566" max="12566" width="10.28515625" style="152" bestFit="1" customWidth="1"/>
    <col min="12567" max="12800" width="8.85546875" style="152"/>
    <col min="12801" max="12801" width="21" style="152" bestFit="1" customWidth="1"/>
    <col min="12802" max="12815" width="8.85546875" style="152"/>
    <col min="12816" max="12818" width="9.5703125" style="152" bestFit="1" customWidth="1"/>
    <col min="12819" max="12819" width="11.42578125" style="152" bestFit="1" customWidth="1"/>
    <col min="12820" max="12821" width="8.85546875" style="152"/>
    <col min="12822" max="12822" width="10.28515625" style="152" bestFit="1" customWidth="1"/>
    <col min="12823" max="13056" width="8.85546875" style="152"/>
    <col min="13057" max="13057" width="21" style="152" bestFit="1" customWidth="1"/>
    <col min="13058" max="13071" width="8.85546875" style="152"/>
    <col min="13072" max="13074" width="9.5703125" style="152" bestFit="1" customWidth="1"/>
    <col min="13075" max="13075" width="11.42578125" style="152" bestFit="1" customWidth="1"/>
    <col min="13076" max="13077" width="8.85546875" style="152"/>
    <col min="13078" max="13078" width="10.28515625" style="152" bestFit="1" customWidth="1"/>
    <col min="13079" max="13312" width="8.85546875" style="152"/>
    <col min="13313" max="13313" width="21" style="152" bestFit="1" customWidth="1"/>
    <col min="13314" max="13327" width="8.85546875" style="152"/>
    <col min="13328" max="13330" width="9.5703125" style="152" bestFit="1" customWidth="1"/>
    <col min="13331" max="13331" width="11.42578125" style="152" bestFit="1" customWidth="1"/>
    <col min="13332" max="13333" width="8.85546875" style="152"/>
    <col min="13334" max="13334" width="10.28515625" style="152" bestFit="1" customWidth="1"/>
    <col min="13335" max="13568" width="8.85546875" style="152"/>
    <col min="13569" max="13569" width="21" style="152" bestFit="1" customWidth="1"/>
    <col min="13570" max="13583" width="8.85546875" style="152"/>
    <col min="13584" max="13586" width="9.5703125" style="152" bestFit="1" customWidth="1"/>
    <col min="13587" max="13587" width="11.42578125" style="152" bestFit="1" customWidth="1"/>
    <col min="13588" max="13589" width="8.85546875" style="152"/>
    <col min="13590" max="13590" width="10.28515625" style="152" bestFit="1" customWidth="1"/>
    <col min="13591" max="13824" width="8.85546875" style="152"/>
    <col min="13825" max="13825" width="21" style="152" bestFit="1" customWidth="1"/>
    <col min="13826" max="13839" width="8.85546875" style="152"/>
    <col min="13840" max="13842" width="9.5703125" style="152" bestFit="1" customWidth="1"/>
    <col min="13843" max="13843" width="11.42578125" style="152" bestFit="1" customWidth="1"/>
    <col min="13844" max="13845" width="8.85546875" style="152"/>
    <col min="13846" max="13846" width="10.28515625" style="152" bestFit="1" customWidth="1"/>
    <col min="13847" max="14080" width="8.85546875" style="152"/>
    <col min="14081" max="14081" width="21" style="152" bestFit="1" customWidth="1"/>
    <col min="14082" max="14095" width="8.85546875" style="152"/>
    <col min="14096" max="14098" width="9.5703125" style="152" bestFit="1" customWidth="1"/>
    <col min="14099" max="14099" width="11.42578125" style="152" bestFit="1" customWidth="1"/>
    <col min="14100" max="14101" width="8.85546875" style="152"/>
    <col min="14102" max="14102" width="10.28515625" style="152" bestFit="1" customWidth="1"/>
    <col min="14103" max="14336" width="8.85546875" style="152"/>
    <col min="14337" max="14337" width="21" style="152" bestFit="1" customWidth="1"/>
    <col min="14338" max="14351" width="8.85546875" style="152"/>
    <col min="14352" max="14354" width="9.5703125" style="152" bestFit="1" customWidth="1"/>
    <col min="14355" max="14355" width="11.42578125" style="152" bestFit="1" customWidth="1"/>
    <col min="14356" max="14357" width="8.85546875" style="152"/>
    <col min="14358" max="14358" width="10.28515625" style="152" bestFit="1" customWidth="1"/>
    <col min="14359" max="14592" width="8.85546875" style="152"/>
    <col min="14593" max="14593" width="21" style="152" bestFit="1" customWidth="1"/>
    <col min="14594" max="14607" width="8.85546875" style="152"/>
    <col min="14608" max="14610" width="9.5703125" style="152" bestFit="1" customWidth="1"/>
    <col min="14611" max="14611" width="11.42578125" style="152" bestFit="1" customWidth="1"/>
    <col min="14612" max="14613" width="8.85546875" style="152"/>
    <col min="14614" max="14614" width="10.28515625" style="152" bestFit="1" customWidth="1"/>
    <col min="14615" max="14848" width="8.85546875" style="152"/>
    <col min="14849" max="14849" width="21" style="152" bestFit="1" customWidth="1"/>
    <col min="14850" max="14863" width="8.85546875" style="152"/>
    <col min="14864" max="14866" width="9.5703125" style="152" bestFit="1" customWidth="1"/>
    <col min="14867" max="14867" width="11.42578125" style="152" bestFit="1" customWidth="1"/>
    <col min="14868" max="14869" width="8.85546875" style="152"/>
    <col min="14870" max="14870" width="10.28515625" style="152" bestFit="1" customWidth="1"/>
    <col min="14871" max="15104" width="8.85546875" style="152"/>
    <col min="15105" max="15105" width="21" style="152" bestFit="1" customWidth="1"/>
    <col min="15106" max="15119" width="8.85546875" style="152"/>
    <col min="15120" max="15122" width="9.5703125" style="152" bestFit="1" customWidth="1"/>
    <col min="15123" max="15123" width="11.42578125" style="152" bestFit="1" customWidth="1"/>
    <col min="15124" max="15125" width="8.85546875" style="152"/>
    <col min="15126" max="15126" width="10.28515625" style="152" bestFit="1" customWidth="1"/>
    <col min="15127" max="15360" width="8.85546875" style="152"/>
    <col min="15361" max="15361" width="21" style="152" bestFit="1" customWidth="1"/>
    <col min="15362" max="15375" width="8.85546875" style="152"/>
    <col min="15376" max="15378" width="9.5703125" style="152" bestFit="1" customWidth="1"/>
    <col min="15379" max="15379" width="11.42578125" style="152" bestFit="1" customWidth="1"/>
    <col min="15380" max="15381" width="8.85546875" style="152"/>
    <col min="15382" max="15382" width="10.28515625" style="152" bestFit="1" customWidth="1"/>
    <col min="15383" max="15616" width="8.85546875" style="152"/>
    <col min="15617" max="15617" width="21" style="152" bestFit="1" customWidth="1"/>
    <col min="15618" max="15631" width="8.85546875" style="152"/>
    <col min="15632" max="15634" width="9.5703125" style="152" bestFit="1" customWidth="1"/>
    <col min="15635" max="15635" width="11.42578125" style="152" bestFit="1" customWidth="1"/>
    <col min="15636" max="15637" width="8.85546875" style="152"/>
    <col min="15638" max="15638" width="10.28515625" style="152" bestFit="1" customWidth="1"/>
    <col min="15639" max="15872" width="8.85546875" style="152"/>
    <col min="15873" max="15873" width="21" style="152" bestFit="1" customWidth="1"/>
    <col min="15874" max="15887" width="8.85546875" style="152"/>
    <col min="15888" max="15890" width="9.5703125" style="152" bestFit="1" customWidth="1"/>
    <col min="15891" max="15891" width="11.42578125" style="152" bestFit="1" customWidth="1"/>
    <col min="15892" max="15893" width="8.85546875" style="152"/>
    <col min="15894" max="15894" width="10.28515625" style="152" bestFit="1" customWidth="1"/>
    <col min="15895" max="16128" width="8.85546875" style="152"/>
    <col min="16129" max="16129" width="21" style="152" bestFit="1" customWidth="1"/>
    <col min="16130" max="16143" width="8.85546875" style="152"/>
    <col min="16144" max="16146" width="9.5703125" style="152" bestFit="1" customWidth="1"/>
    <col min="16147" max="16147" width="11.42578125" style="152" bestFit="1" customWidth="1"/>
    <col min="16148" max="16149" width="8.85546875" style="152"/>
    <col min="16150" max="16150" width="10.28515625" style="152" bestFit="1" customWidth="1"/>
    <col min="16151" max="16384" width="8.85546875" style="152"/>
  </cols>
  <sheetData>
    <row r="1" spans="1:30">
      <c r="C1" s="187">
        <v>35490</v>
      </c>
      <c r="D1" s="187">
        <v>35674</v>
      </c>
      <c r="E1" s="187">
        <v>36039</v>
      </c>
      <c r="F1" s="187">
        <v>36404</v>
      </c>
      <c r="G1" s="187">
        <v>36770</v>
      </c>
      <c r="H1" s="187">
        <v>37135</v>
      </c>
      <c r="I1" s="187">
        <v>37529</v>
      </c>
      <c r="J1" s="187">
        <v>37894</v>
      </c>
      <c r="K1" s="187">
        <v>38260</v>
      </c>
      <c r="L1" s="187">
        <v>38625</v>
      </c>
      <c r="M1" s="187">
        <v>38990</v>
      </c>
      <c r="N1" s="187">
        <v>39355</v>
      </c>
      <c r="O1" s="187">
        <v>39721</v>
      </c>
      <c r="P1" s="187">
        <v>40086</v>
      </c>
      <c r="Q1" s="187">
        <v>40451</v>
      </c>
      <c r="R1" s="187">
        <v>40816</v>
      </c>
      <c r="S1" s="187">
        <v>41162</v>
      </c>
      <c r="T1" s="187">
        <v>41518</v>
      </c>
      <c r="U1" s="187">
        <v>41883</v>
      </c>
      <c r="V1" s="187">
        <v>42248</v>
      </c>
      <c r="W1" s="187">
        <v>42614</v>
      </c>
      <c r="X1" s="187">
        <v>42979</v>
      </c>
      <c r="Y1" s="187">
        <v>43344</v>
      </c>
      <c r="Z1" s="187">
        <v>43709</v>
      </c>
    </row>
    <row r="2" spans="1:30">
      <c r="A2" s="186" t="s">
        <v>110</v>
      </c>
      <c r="C2" s="179">
        <v>120.5</v>
      </c>
      <c r="D2" s="179">
        <v>119.7</v>
      </c>
      <c r="E2" s="179">
        <v>121.3</v>
      </c>
      <c r="F2" s="179">
        <v>123.4</v>
      </c>
      <c r="G2" s="179">
        <v>130.9</v>
      </c>
      <c r="H2" s="179">
        <v>134.19999999999999</v>
      </c>
      <c r="I2" s="179">
        <v>138.5</v>
      </c>
      <c r="J2" s="179">
        <v>142.1</v>
      </c>
      <c r="K2" s="179">
        <v>145.4</v>
      </c>
      <c r="L2" s="179">
        <v>149.80000000000001</v>
      </c>
      <c r="M2" s="179">
        <v>155.69999999999999</v>
      </c>
      <c r="N2" s="179">
        <v>158.6</v>
      </c>
      <c r="O2" s="179">
        <v>166.5</v>
      </c>
      <c r="P2" s="179">
        <v>168.6</v>
      </c>
      <c r="Q2" s="179">
        <v>173.3</v>
      </c>
      <c r="R2" s="179">
        <v>179.4</v>
      </c>
      <c r="S2" s="178">
        <v>182.99517599999999</v>
      </c>
      <c r="T2" s="178">
        <f>S2*1.02161100196463</f>
        <v>186.94988510805382</v>
      </c>
      <c r="U2" s="178">
        <f t="shared" ref="U2:Z2" si="0">T2*(1+U6)</f>
        <v>191.26411322593202</v>
      </c>
      <c r="V2" s="178">
        <f>U2*(1+V6)</f>
        <v>194.14026530451744</v>
      </c>
      <c r="W2" s="178">
        <f t="shared" si="0"/>
        <v>196.65632314286401</v>
      </c>
      <c r="X2" s="178">
        <f t="shared" si="0"/>
        <v>201.57273122143559</v>
      </c>
      <c r="Y2" s="178">
        <f t="shared" si="0"/>
        <v>206.61204950197146</v>
      </c>
      <c r="Z2" s="178">
        <f t="shared" si="0"/>
        <v>211.77735073952073</v>
      </c>
    </row>
    <row r="3" spans="1:30">
      <c r="A3" s="186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1:30">
      <c r="A4" s="186"/>
      <c r="B4" s="159"/>
      <c r="C4" s="182"/>
      <c r="D4" s="182">
        <v>1998</v>
      </c>
      <c r="E4" s="182">
        <f t="shared" ref="E4:Z4" si="1">D4+1</f>
        <v>1999</v>
      </c>
      <c r="F4" s="182">
        <f t="shared" si="1"/>
        <v>2000</v>
      </c>
      <c r="G4" s="182">
        <f t="shared" si="1"/>
        <v>2001</v>
      </c>
      <c r="H4" s="182">
        <f t="shared" si="1"/>
        <v>2002</v>
      </c>
      <c r="I4" s="182">
        <f t="shared" si="1"/>
        <v>2003</v>
      </c>
      <c r="J4" s="182">
        <f t="shared" si="1"/>
        <v>2004</v>
      </c>
      <c r="K4" s="182">
        <f t="shared" si="1"/>
        <v>2005</v>
      </c>
      <c r="L4" s="182">
        <f t="shared" si="1"/>
        <v>2006</v>
      </c>
      <c r="M4" s="182">
        <f t="shared" si="1"/>
        <v>2007</v>
      </c>
      <c r="N4" s="182">
        <f t="shared" si="1"/>
        <v>2008</v>
      </c>
      <c r="O4" s="182">
        <f t="shared" si="1"/>
        <v>2009</v>
      </c>
      <c r="P4" s="182">
        <f t="shared" si="1"/>
        <v>2010</v>
      </c>
      <c r="Q4" s="182">
        <f t="shared" si="1"/>
        <v>2011</v>
      </c>
      <c r="R4" s="182">
        <f t="shared" si="1"/>
        <v>2012</v>
      </c>
      <c r="S4" s="182">
        <f t="shared" si="1"/>
        <v>2013</v>
      </c>
      <c r="T4" s="182">
        <f t="shared" si="1"/>
        <v>2014</v>
      </c>
      <c r="U4" s="182">
        <f t="shared" si="1"/>
        <v>2015</v>
      </c>
      <c r="V4" s="182">
        <f t="shared" si="1"/>
        <v>2016</v>
      </c>
      <c r="W4" s="182">
        <f t="shared" si="1"/>
        <v>2017</v>
      </c>
      <c r="X4" s="182">
        <f t="shared" si="1"/>
        <v>2018</v>
      </c>
      <c r="Y4" s="182">
        <f t="shared" si="1"/>
        <v>2019</v>
      </c>
      <c r="Z4" s="182">
        <f t="shared" si="1"/>
        <v>2020</v>
      </c>
      <c r="AC4" s="152" t="s">
        <v>109</v>
      </c>
      <c r="AD4" s="152">
        <v>108</v>
      </c>
    </row>
    <row r="5" spans="1:30">
      <c r="A5" s="186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C5" s="152" t="s">
        <v>108</v>
      </c>
      <c r="AD5" s="152">
        <v>106.4</v>
      </c>
    </row>
    <row r="6" spans="1:30" ht="15">
      <c r="A6" s="186" t="s">
        <v>107</v>
      </c>
      <c r="C6" s="179"/>
      <c r="D6" s="184">
        <f t="shared" ref="D6:T6" si="2">(D2/C2)-1</f>
        <v>-6.6390041493775698E-3</v>
      </c>
      <c r="E6" s="184">
        <f t="shared" si="2"/>
        <v>1.3366750208855471E-2</v>
      </c>
      <c r="F6" s="184">
        <f t="shared" si="2"/>
        <v>1.7312448474855691E-2</v>
      </c>
      <c r="G6" s="184">
        <f t="shared" si="2"/>
        <v>6.0777957860615794E-2</v>
      </c>
      <c r="H6" s="184">
        <f t="shared" si="2"/>
        <v>2.5210084033613356E-2</v>
      </c>
      <c r="I6" s="184">
        <f t="shared" si="2"/>
        <v>3.2041728763040345E-2</v>
      </c>
      <c r="J6" s="184">
        <f t="shared" si="2"/>
        <v>2.5992779783393427E-2</v>
      </c>
      <c r="K6" s="184">
        <f t="shared" si="2"/>
        <v>2.3223082336382816E-2</v>
      </c>
      <c r="L6" s="184">
        <f t="shared" si="2"/>
        <v>3.0261348005502064E-2</v>
      </c>
      <c r="M6" s="184">
        <f t="shared" si="2"/>
        <v>3.9385847797062556E-2</v>
      </c>
      <c r="N6" s="184">
        <f t="shared" si="2"/>
        <v>1.862556197816323E-2</v>
      </c>
      <c r="O6" s="184">
        <f t="shared" si="2"/>
        <v>4.9810844892812067E-2</v>
      </c>
      <c r="P6" s="184">
        <f t="shared" si="2"/>
        <v>1.2612612612612484E-2</v>
      </c>
      <c r="Q6" s="184">
        <f t="shared" si="2"/>
        <v>2.7876631079478242E-2</v>
      </c>
      <c r="R6" s="184">
        <f t="shared" si="2"/>
        <v>3.5199076745527913E-2</v>
      </c>
      <c r="S6" s="184">
        <f t="shared" si="2"/>
        <v>2.0039999999999836E-2</v>
      </c>
      <c r="T6" s="184">
        <f t="shared" si="2"/>
        <v>2.1611001964630061E-2</v>
      </c>
      <c r="U6" s="184">
        <f>(106.4/104)-1</f>
        <v>2.3076923076923217E-2</v>
      </c>
      <c r="V6" s="184">
        <f>AD6-1</f>
        <v>1.5037593984962294E-2</v>
      </c>
      <c r="W6" s="185">
        <v>1.2959999999999999E-2</v>
      </c>
      <c r="X6" s="184">
        <v>2.5000000000000001E-2</v>
      </c>
      <c r="Y6" s="184">
        <v>2.5000000000000001E-2</v>
      </c>
      <c r="Z6" s="184">
        <v>2.5000000000000001E-2</v>
      </c>
      <c r="AD6" s="152">
        <f>AD4/AD5</f>
        <v>1.0150375939849623</v>
      </c>
    </row>
    <row r="7" spans="1:30" s="154" customFormat="1">
      <c r="C7" s="183">
        <f t="shared" ref="C7:Z7" si="3">C2</f>
        <v>120.5</v>
      </c>
      <c r="D7" s="183">
        <f t="shared" si="3"/>
        <v>119.7</v>
      </c>
      <c r="E7" s="183">
        <f t="shared" si="3"/>
        <v>121.3</v>
      </c>
      <c r="F7" s="183">
        <f t="shared" si="3"/>
        <v>123.4</v>
      </c>
      <c r="G7" s="183">
        <f t="shared" si="3"/>
        <v>130.9</v>
      </c>
      <c r="H7" s="183">
        <f t="shared" si="3"/>
        <v>134.19999999999999</v>
      </c>
      <c r="I7" s="183">
        <f t="shared" si="3"/>
        <v>138.5</v>
      </c>
      <c r="J7" s="183">
        <f t="shared" si="3"/>
        <v>142.1</v>
      </c>
      <c r="K7" s="183">
        <f t="shared" si="3"/>
        <v>145.4</v>
      </c>
      <c r="L7" s="183">
        <f t="shared" si="3"/>
        <v>149.80000000000001</v>
      </c>
      <c r="M7" s="183">
        <f t="shared" si="3"/>
        <v>155.69999999999999</v>
      </c>
      <c r="N7" s="183">
        <f t="shared" si="3"/>
        <v>158.6</v>
      </c>
      <c r="O7" s="183">
        <f t="shared" si="3"/>
        <v>166.5</v>
      </c>
      <c r="P7" s="183">
        <f t="shared" si="3"/>
        <v>168.6</v>
      </c>
      <c r="Q7" s="183">
        <f t="shared" si="3"/>
        <v>173.3</v>
      </c>
      <c r="R7" s="183">
        <f t="shared" si="3"/>
        <v>179.4</v>
      </c>
      <c r="S7" s="183">
        <f t="shared" si="3"/>
        <v>182.99517599999999</v>
      </c>
      <c r="T7" s="183">
        <f t="shared" si="3"/>
        <v>186.94988510805382</v>
      </c>
      <c r="U7" s="183">
        <f t="shared" si="3"/>
        <v>191.26411322593202</v>
      </c>
      <c r="V7" s="183">
        <f>V2</f>
        <v>194.14026530451744</v>
      </c>
      <c r="W7" s="183">
        <f t="shared" si="3"/>
        <v>196.65632314286401</v>
      </c>
      <c r="X7" s="183">
        <f t="shared" si="3"/>
        <v>201.57273122143559</v>
      </c>
      <c r="Y7" s="183">
        <f t="shared" si="3"/>
        <v>206.61204950197146</v>
      </c>
      <c r="Z7" s="183">
        <f t="shared" si="3"/>
        <v>211.77735073952073</v>
      </c>
    </row>
    <row r="8" spans="1:30"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30" hidden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2">
        <v>2008</v>
      </c>
      <c r="O9" s="182">
        <v>2009</v>
      </c>
      <c r="P9" s="182">
        <f>P4</f>
        <v>2010</v>
      </c>
      <c r="Q9" s="182">
        <f>P9+1</f>
        <v>2011</v>
      </c>
      <c r="R9" s="182">
        <f>Q9+1</f>
        <v>2012</v>
      </c>
      <c r="S9" s="182">
        <f>S4</f>
        <v>2013</v>
      </c>
      <c r="T9" s="182">
        <f>S9+1</f>
        <v>2014</v>
      </c>
      <c r="U9" s="182">
        <f>T9+1</f>
        <v>2015</v>
      </c>
      <c r="V9" s="182">
        <f>U9+1</f>
        <v>2016</v>
      </c>
      <c r="W9" s="182">
        <f>V9+1</f>
        <v>2017</v>
      </c>
      <c r="X9" s="182">
        <f>W9+1</f>
        <v>2018</v>
      </c>
    </row>
    <row r="10" spans="1:30" hidden="1">
      <c r="A10" s="152" t="s">
        <v>106</v>
      </c>
      <c r="C10" s="179"/>
      <c r="D10" s="178">
        <f t="shared" ref="D10:Z10" si="4">$R$2/D$2</f>
        <v>1.4987468671679198</v>
      </c>
      <c r="E10" s="178">
        <f t="shared" si="4"/>
        <v>1.4789777411376752</v>
      </c>
      <c r="F10" s="178">
        <f t="shared" si="4"/>
        <v>1.453808752025932</v>
      </c>
      <c r="G10" s="178">
        <f t="shared" si="4"/>
        <v>1.3705118411000763</v>
      </c>
      <c r="H10" s="178">
        <f t="shared" si="4"/>
        <v>1.3368107302533534</v>
      </c>
      <c r="I10" s="178">
        <f t="shared" si="4"/>
        <v>1.2953068592057762</v>
      </c>
      <c r="J10" s="178">
        <f t="shared" si="4"/>
        <v>1.262491203377903</v>
      </c>
      <c r="K10" s="178">
        <f t="shared" si="4"/>
        <v>1.2338376891334251</v>
      </c>
      <c r="L10" s="177">
        <f t="shared" si="4"/>
        <v>1.1975967957276368</v>
      </c>
      <c r="M10" s="177">
        <f t="shared" si="4"/>
        <v>1.1522157996146436</v>
      </c>
      <c r="N10" s="176">
        <f t="shared" si="4"/>
        <v>1.1311475409836067</v>
      </c>
      <c r="O10" s="176">
        <f t="shared" si="4"/>
        <v>1.0774774774774776</v>
      </c>
      <c r="P10" s="176">
        <f t="shared" si="4"/>
        <v>1.0640569395017794</v>
      </c>
      <c r="Q10" s="176">
        <f t="shared" si="4"/>
        <v>1.0351990767455279</v>
      </c>
      <c r="R10" s="176">
        <f t="shared" si="4"/>
        <v>1</v>
      </c>
      <c r="S10" s="181">
        <f t="shared" si="4"/>
        <v>0.9803537116191523</v>
      </c>
      <c r="T10" s="181">
        <f t="shared" si="4"/>
        <v>0.95961546002721476</v>
      </c>
      <c r="U10" s="181">
        <f t="shared" si="4"/>
        <v>0.93796999852284124</v>
      </c>
      <c r="V10" s="181">
        <f t="shared" si="4"/>
        <v>0.92407414669287335</v>
      </c>
      <c r="W10" s="181">
        <f t="shared" si="4"/>
        <v>0.91225136895126491</v>
      </c>
      <c r="X10" s="180">
        <f t="shared" si="4"/>
        <v>0.89000133556220973</v>
      </c>
      <c r="Y10" s="180">
        <f t="shared" si="4"/>
        <v>0.86829398591435103</v>
      </c>
      <c r="Z10" s="180">
        <f t="shared" si="4"/>
        <v>0.84711608381887915</v>
      </c>
    </row>
    <row r="11" spans="1:30" hidden="1">
      <c r="C11" s="179"/>
      <c r="D11" s="178"/>
      <c r="E11" s="178"/>
      <c r="F11" s="178"/>
      <c r="G11" s="178"/>
      <c r="H11" s="178"/>
      <c r="I11" s="178"/>
      <c r="J11" s="178"/>
      <c r="K11" s="178"/>
      <c r="L11" s="177"/>
      <c r="M11" s="177"/>
      <c r="N11" s="176"/>
      <c r="O11" s="176"/>
      <c r="P11" s="176"/>
      <c r="Q11" s="176"/>
      <c r="R11" s="176"/>
      <c r="S11" s="174"/>
      <c r="T11" s="174"/>
      <c r="U11" s="174"/>
      <c r="V11" s="174"/>
      <c r="W11" s="174"/>
      <c r="X11" s="173"/>
      <c r="Y11" s="173"/>
      <c r="Z11" s="173"/>
    </row>
    <row r="12" spans="1:30" hidden="1">
      <c r="A12" s="152" t="s">
        <v>105</v>
      </c>
      <c r="N12" s="175">
        <f t="shared" ref="N12:Z12" si="5">1/N10</f>
        <v>0.88405797101449268</v>
      </c>
      <c r="O12" s="175">
        <f t="shared" si="5"/>
        <v>0.92809364548494977</v>
      </c>
      <c r="P12" s="175">
        <f t="shared" si="5"/>
        <v>0.93979933110367897</v>
      </c>
      <c r="Q12" s="175">
        <f t="shared" si="5"/>
        <v>0.96599777034559653</v>
      </c>
      <c r="R12" s="175">
        <f t="shared" si="5"/>
        <v>1</v>
      </c>
      <c r="S12" s="174">
        <f t="shared" si="5"/>
        <v>1.0200399999999998</v>
      </c>
      <c r="T12" s="174">
        <f t="shared" si="5"/>
        <v>1.0420840864440011</v>
      </c>
      <c r="U12" s="174">
        <f t="shared" si="5"/>
        <v>1.0661321807465554</v>
      </c>
      <c r="V12" s="174">
        <f t="shared" si="5"/>
        <v>1.0821642436149244</v>
      </c>
      <c r="W12" s="174">
        <f t="shared" si="5"/>
        <v>1.096189092212174</v>
      </c>
      <c r="X12" s="173">
        <f t="shared" si="5"/>
        <v>1.1235938195174782</v>
      </c>
      <c r="Y12" s="173">
        <f t="shared" si="5"/>
        <v>1.151683665005415</v>
      </c>
      <c r="Z12" s="173">
        <f t="shared" si="5"/>
        <v>1.1804757566305502</v>
      </c>
    </row>
    <row r="13" spans="1:30" hidden="1"/>
    <row r="14" spans="1:30" hidden="1">
      <c r="A14" s="152" t="s">
        <v>104</v>
      </c>
      <c r="L14" s="152">
        <f>L2/$L$2</f>
        <v>1</v>
      </c>
      <c r="M14" s="152">
        <f t="shared" ref="M14:Z14" si="6">N2/$L$2</f>
        <v>1.0587449933244324</v>
      </c>
      <c r="N14" s="152">
        <f t="shared" si="6"/>
        <v>1.1114819759679573</v>
      </c>
      <c r="O14" s="152">
        <f t="shared" si="6"/>
        <v>1.1255006675567423</v>
      </c>
      <c r="P14" s="152">
        <f t="shared" si="6"/>
        <v>1.1568758344459278</v>
      </c>
      <c r="Q14" s="152">
        <f t="shared" si="6"/>
        <v>1.1975967957276368</v>
      </c>
      <c r="R14" s="152">
        <f t="shared" si="6"/>
        <v>1.2215966355140184</v>
      </c>
      <c r="S14" s="152">
        <f t="shared" si="6"/>
        <v>1.2479965628040974</v>
      </c>
      <c r="T14" s="152">
        <f t="shared" si="6"/>
        <v>1.2767964834841923</v>
      </c>
      <c r="U14" s="152">
        <f t="shared" si="6"/>
        <v>1.2959964306042553</v>
      </c>
      <c r="V14" s="152">
        <f t="shared" si="6"/>
        <v>1.3127925443448865</v>
      </c>
      <c r="W14" s="152">
        <f t="shared" si="6"/>
        <v>1.3456123579535084</v>
      </c>
      <c r="X14" s="152">
        <f t="shared" si="6"/>
        <v>1.3792526669023462</v>
      </c>
      <c r="Y14" s="152">
        <f t="shared" si="6"/>
        <v>1.4137339835749045</v>
      </c>
      <c r="Z14" s="152">
        <f t="shared" si="6"/>
        <v>0</v>
      </c>
    </row>
    <row r="15" spans="1:30" hidden="1"/>
    <row r="16" spans="1:30" hidden="1">
      <c r="A16" s="152" t="s">
        <v>103</v>
      </c>
      <c r="L16" s="152">
        <f t="shared" ref="L16:Z16" si="7">1/L14</f>
        <v>1</v>
      </c>
      <c r="M16" s="152">
        <f t="shared" si="7"/>
        <v>0.94451450189155128</v>
      </c>
      <c r="N16" s="152">
        <f t="shared" si="7"/>
        <v>0.89969969969969965</v>
      </c>
      <c r="O16" s="152">
        <f t="shared" si="7"/>
        <v>0.88849347568208781</v>
      </c>
      <c r="P16" s="152">
        <f t="shared" si="7"/>
        <v>0.86439699942296599</v>
      </c>
      <c r="Q16" s="152">
        <f t="shared" si="7"/>
        <v>0.83500557413600895</v>
      </c>
      <c r="R16" s="152">
        <f t="shared" si="7"/>
        <v>0.81860081382691763</v>
      </c>
      <c r="S16" s="152">
        <f t="shared" si="7"/>
        <v>0.80128425814981485</v>
      </c>
      <c r="T16" s="152">
        <f t="shared" si="7"/>
        <v>0.78321017713891661</v>
      </c>
      <c r="U16" s="152">
        <f t="shared" si="7"/>
        <v>0.77160706340352525</v>
      </c>
      <c r="V16" s="152">
        <f t="shared" si="7"/>
        <v>0.76173497808751112</v>
      </c>
      <c r="W16" s="152">
        <f t="shared" si="7"/>
        <v>0.74315607618293777</v>
      </c>
      <c r="X16" s="152">
        <f t="shared" si="7"/>
        <v>0.72503031822725628</v>
      </c>
      <c r="Y16" s="152">
        <f t="shared" si="7"/>
        <v>0.70734665192903068</v>
      </c>
      <c r="Z16" s="152" t="e">
        <f t="shared" si="7"/>
        <v>#DIV/0!</v>
      </c>
    </row>
    <row r="17" spans="1:26" hidden="1"/>
    <row r="18" spans="1:26" hidden="1"/>
    <row r="19" spans="1:26" ht="15.75" hidden="1" thickBot="1">
      <c r="M19" s="170" t="s">
        <v>102</v>
      </c>
      <c r="N19" s="172">
        <v>142.95398754671282</v>
      </c>
      <c r="O19" s="172">
        <v>144.06487285804457</v>
      </c>
      <c r="P19" s="172">
        <v>145.60211406544803</v>
      </c>
      <c r="Q19" s="172">
        <v>147.09727348351035</v>
      </c>
      <c r="R19" s="172">
        <v>148.11444263865468</v>
      </c>
      <c r="S19" s="171">
        <v>727.83269059237045</v>
      </c>
    </row>
    <row r="20" spans="1:26" hidden="1">
      <c r="M20" s="170" t="s">
        <v>100</v>
      </c>
      <c r="N20" s="169">
        <f>N19*M14</f>
        <v>151.35181859084545</v>
      </c>
      <c r="O20" s="169">
        <f>O19*N14</f>
        <v>160.12550955183193</v>
      </c>
      <c r="P20" s="169">
        <f>P19*O14</f>
        <v>163.87527657833471</v>
      </c>
      <c r="Q20" s="169">
        <f>Q19*P14</f>
        <v>170.17328100595688</v>
      </c>
      <c r="R20" s="169">
        <f>R19*Q14</f>
        <v>177.3813819050377</v>
      </c>
      <c r="S20" s="169">
        <f>SUM(N20:R20)</f>
        <v>822.90726763200655</v>
      </c>
    </row>
    <row r="21" spans="1:26" hidden="1"/>
    <row r="22" spans="1:26" hidden="1"/>
    <row r="23" spans="1:26" ht="13.5" hidden="1" thickBot="1">
      <c r="M23" s="152" t="s">
        <v>101</v>
      </c>
      <c r="N23" s="168">
        <v>153.06293859158453</v>
      </c>
      <c r="O23" s="168">
        <v>154.25237984543625</v>
      </c>
      <c r="P23" s="168">
        <v>155.89832663270141</v>
      </c>
      <c r="Q23" s="168">
        <v>157.49921582872133</v>
      </c>
      <c r="R23" s="168">
        <v>158.58831381474445</v>
      </c>
      <c r="S23" s="167">
        <f>SUM(N23:R23)</f>
        <v>779.30117471318795</v>
      </c>
    </row>
    <row r="24" spans="1:26" hidden="1">
      <c r="M24" s="152" t="s">
        <v>100</v>
      </c>
      <c r="N24" s="166">
        <f>N23*M14</f>
        <v>162.05461989736517</v>
      </c>
      <c r="O24" s="166">
        <f>O23*N14</f>
        <v>171.44873994836539</v>
      </c>
      <c r="P24" s="166">
        <f>P23*O14</f>
        <v>175.46367069608451</v>
      </c>
      <c r="Q24" s="166">
        <f>Q23*P14</f>
        <v>182.20703673643126</v>
      </c>
      <c r="R24" s="166">
        <f>R23*Q14</f>
        <v>189.92485646438686</v>
      </c>
      <c r="S24" s="165">
        <f>SUM(N24:R24)</f>
        <v>881.09892374263313</v>
      </c>
    </row>
    <row r="25" spans="1:26" hidden="1"/>
    <row r="26" spans="1:26" hidden="1"/>
    <row r="27" spans="1:26" hidden="1"/>
    <row r="28" spans="1:26" ht="15" hidden="1">
      <c r="N28" s="164">
        <v>161.39416187050034</v>
      </c>
      <c r="O28" s="163">
        <v>171.57536936582997</v>
      </c>
      <c r="P28" s="163">
        <v>175.59326548000138</v>
      </c>
      <c r="Q28" s="162">
        <v>182.34161206738335</v>
      </c>
      <c r="R28" s="162">
        <v>190.06513205896621</v>
      </c>
      <c r="S28" s="161">
        <f>SUM(N28:R28)</f>
        <v>880.96954084268134</v>
      </c>
    </row>
    <row r="29" spans="1:26" hidden="1"/>
    <row r="30" spans="1:26" hidden="1"/>
    <row r="31" spans="1:26">
      <c r="B31" s="159" t="s">
        <v>99</v>
      </c>
    </row>
    <row r="32" spans="1:26">
      <c r="A32" s="152" t="s">
        <v>98</v>
      </c>
      <c r="B32" s="157">
        <v>2016</v>
      </c>
      <c r="D32" s="160">
        <f t="shared" ref="D32:Z32" si="8">HLOOKUP($B$32, $C$4:$Z$7, 4)/D$2</f>
        <v>1.6218902698790094</v>
      </c>
      <c r="E32" s="160">
        <f t="shared" si="8"/>
        <v>1.6004968285615617</v>
      </c>
      <c r="F32" s="160">
        <f t="shared" si="8"/>
        <v>1.5732598484968998</v>
      </c>
      <c r="G32" s="160">
        <f t="shared" si="8"/>
        <v>1.4831189098893616</v>
      </c>
      <c r="H32" s="160">
        <f t="shared" si="8"/>
        <v>1.446648772760935</v>
      </c>
      <c r="I32" s="160">
        <f t="shared" si="8"/>
        <v>1.4017347675416423</v>
      </c>
      <c r="J32" s="160">
        <f t="shared" si="8"/>
        <v>1.3662228381739441</v>
      </c>
      <c r="K32" s="160">
        <f t="shared" si="8"/>
        <v>1.3352150296046592</v>
      </c>
      <c r="L32" s="160">
        <f t="shared" si="8"/>
        <v>1.2959964306042553</v>
      </c>
      <c r="M32" s="160">
        <f t="shared" si="8"/>
        <v>1.2468867392711462</v>
      </c>
      <c r="N32" s="160">
        <f t="shared" si="8"/>
        <v>1.2240874231054064</v>
      </c>
      <c r="O32" s="160">
        <f t="shared" si="8"/>
        <v>1.1660075994265311</v>
      </c>
      <c r="P32" s="160">
        <f t="shared" si="8"/>
        <v>1.1514843730991544</v>
      </c>
      <c r="Q32" s="160">
        <f t="shared" si="8"/>
        <v>1.1202554258771924</v>
      </c>
      <c r="R32" s="160">
        <f t="shared" si="8"/>
        <v>1.0821642436149244</v>
      </c>
      <c r="S32" s="160">
        <f t="shared" si="8"/>
        <v>1.0609037328094237</v>
      </c>
      <c r="T32" s="160">
        <f t="shared" si="8"/>
        <v>1.0384615384615385</v>
      </c>
      <c r="U32" s="160">
        <f t="shared" si="8"/>
        <v>1.0150375939849623</v>
      </c>
      <c r="V32" s="160">
        <f t="shared" si="8"/>
        <v>1</v>
      </c>
      <c r="W32" s="160">
        <f t="shared" si="8"/>
        <v>0.98720581266782492</v>
      </c>
      <c r="X32" s="160">
        <f t="shared" si="8"/>
        <v>0.96312762211495118</v>
      </c>
      <c r="Y32" s="160">
        <f t="shared" si="8"/>
        <v>0.93963670450239156</v>
      </c>
      <c r="Z32" s="160">
        <f t="shared" si="8"/>
        <v>0.91671873609989418</v>
      </c>
    </row>
    <row r="33" spans="1:26">
      <c r="A33" s="152" t="s">
        <v>98</v>
      </c>
      <c r="B33" s="157">
        <v>2017</v>
      </c>
      <c r="D33" s="160">
        <f>HLOOKUP($B$33, $C$4:$Z$7, 4)/D$2</f>
        <v>1.6429099677766417</v>
      </c>
      <c r="E33" s="160">
        <f t="shared" ref="E33:Z33" si="9">HLOOKUP($B$33, $C$4:$Z$7, 4)/E$2</f>
        <v>1.6212392674597198</v>
      </c>
      <c r="F33" s="160">
        <f t="shared" si="9"/>
        <v>1.5936492961334199</v>
      </c>
      <c r="G33" s="160">
        <f t="shared" si="9"/>
        <v>1.5023401309615279</v>
      </c>
      <c r="H33" s="160">
        <f t="shared" si="9"/>
        <v>1.4653973408559167</v>
      </c>
      <c r="I33" s="160">
        <f t="shared" si="9"/>
        <v>1.4199012501289821</v>
      </c>
      <c r="J33" s="160">
        <f t="shared" si="9"/>
        <v>1.3839290861566784</v>
      </c>
      <c r="K33" s="160">
        <f t="shared" si="9"/>
        <v>1.3525194163883356</v>
      </c>
      <c r="L33" s="160">
        <f t="shared" si="9"/>
        <v>1.3127925443448865</v>
      </c>
      <c r="M33" s="160">
        <f t="shared" si="9"/>
        <v>1.2630463914121004</v>
      </c>
      <c r="N33" s="160">
        <f t="shared" si="9"/>
        <v>1.2399515961088525</v>
      </c>
      <c r="O33" s="160">
        <f t="shared" si="9"/>
        <v>1.1811190579150992</v>
      </c>
      <c r="P33" s="160">
        <f t="shared" si="9"/>
        <v>1.1664076105745196</v>
      </c>
      <c r="Q33" s="160">
        <f t="shared" si="9"/>
        <v>1.134773936196561</v>
      </c>
      <c r="R33" s="160">
        <f t="shared" si="9"/>
        <v>1.096189092212174</v>
      </c>
      <c r="S33" s="160">
        <f t="shared" si="9"/>
        <v>1.0746530451866338</v>
      </c>
      <c r="T33" s="160">
        <f t="shared" si="9"/>
        <v>1.0519200000000002</v>
      </c>
      <c r="U33" s="160">
        <f t="shared" si="9"/>
        <v>1.0281924812030074</v>
      </c>
      <c r="V33" s="160">
        <f t="shared" si="9"/>
        <v>1.0129600000000001</v>
      </c>
      <c r="W33" s="160">
        <f t="shared" si="9"/>
        <v>1</v>
      </c>
      <c r="X33" s="160">
        <f t="shared" si="9"/>
        <v>0.97560975609756106</v>
      </c>
      <c r="Y33" s="160">
        <f t="shared" si="9"/>
        <v>0.95181439619274266</v>
      </c>
      <c r="Z33" s="160">
        <f t="shared" si="9"/>
        <v>0.92859941091974896</v>
      </c>
    </row>
    <row r="34" spans="1:26">
      <c r="A34" s="152" t="s">
        <v>97</v>
      </c>
      <c r="B34" s="152">
        <f>B32</f>
        <v>2016</v>
      </c>
      <c r="D34" s="160">
        <f t="shared" ref="D34:Z34" si="10">1/D32</f>
        <v>0.61656452262618144</v>
      </c>
      <c r="E34" s="160">
        <f t="shared" si="10"/>
        <v>0.62480598658776776</v>
      </c>
      <c r="F34" s="160">
        <f t="shared" si="10"/>
        <v>0.63562290803734989</v>
      </c>
      <c r="G34" s="160">
        <f t="shared" si="10"/>
        <v>0.67425477035728609</v>
      </c>
      <c r="H34" s="160">
        <f t="shared" si="10"/>
        <v>0.69125278977805793</v>
      </c>
      <c r="I34" s="160">
        <f t="shared" si="10"/>
        <v>0.71340172417482139</v>
      </c>
      <c r="J34" s="160">
        <f t="shared" si="10"/>
        <v>0.73194501808839074</v>
      </c>
      <c r="K34" s="160">
        <f t="shared" si="10"/>
        <v>0.74894303750916269</v>
      </c>
      <c r="L34" s="160">
        <f t="shared" si="10"/>
        <v>0.77160706340352525</v>
      </c>
      <c r="M34" s="160">
        <f t="shared" si="10"/>
        <v>0.80199746176187492</v>
      </c>
      <c r="N34" s="160">
        <f t="shared" si="10"/>
        <v>0.81693511519225026</v>
      </c>
      <c r="O34" s="160">
        <f t="shared" si="10"/>
        <v>0.85762734350258318</v>
      </c>
      <c r="P34" s="160">
        <f t="shared" si="10"/>
        <v>0.86844426495216531</v>
      </c>
      <c r="Q34" s="160">
        <f t="shared" si="10"/>
        <v>0.89265356533932527</v>
      </c>
      <c r="R34" s="160">
        <f t="shared" si="10"/>
        <v>0.92407414669287335</v>
      </c>
      <c r="S34" s="160">
        <f t="shared" si="10"/>
        <v>0.94259259259259842</v>
      </c>
      <c r="T34" s="160">
        <f t="shared" si="10"/>
        <v>0.96296296296296291</v>
      </c>
      <c r="U34" s="160">
        <f t="shared" si="10"/>
        <v>0.98518518518518527</v>
      </c>
      <c r="V34" s="160">
        <f t="shared" si="10"/>
        <v>1</v>
      </c>
      <c r="W34" s="160">
        <f t="shared" si="10"/>
        <v>1.0129600000000001</v>
      </c>
      <c r="X34" s="160">
        <f t="shared" si="10"/>
        <v>1.038284</v>
      </c>
      <c r="Y34" s="160">
        <f t="shared" si="10"/>
        <v>1.0642410999999998</v>
      </c>
      <c r="Z34" s="160">
        <f t="shared" si="10"/>
        <v>1.0908471274999998</v>
      </c>
    </row>
    <row r="35" spans="1:26"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>
      <c r="B36" s="159" t="s">
        <v>96</v>
      </c>
      <c r="C36" s="159" t="s">
        <v>95</v>
      </c>
    </row>
    <row r="37" spans="1:26">
      <c r="A37" s="152" t="s">
        <v>94</v>
      </c>
      <c r="B37" s="158">
        <v>2006</v>
      </c>
      <c r="C37" s="157">
        <v>2016</v>
      </c>
      <c r="D37" s="156">
        <f>HLOOKUP($C$37, $C$4:$Z$7, 4)/HLOOKUP($B$37, $C$4:$Z$7, 4)</f>
        <v>1.2959964306042553</v>
      </c>
    </row>
    <row r="39" spans="1:26">
      <c r="U39" s="155"/>
    </row>
    <row r="48" spans="1:26">
      <c r="F48" s="153"/>
      <c r="G48" s="153"/>
      <c r="H48" s="153"/>
      <c r="I48" s="153"/>
      <c r="J48" s="153"/>
      <c r="K48" s="153"/>
    </row>
    <row r="56" spans="6:11">
      <c r="F56" s="154"/>
      <c r="G56" s="154"/>
      <c r="H56" s="154"/>
      <c r="I56" s="154"/>
      <c r="J56" s="154"/>
      <c r="K56" s="154"/>
    </row>
    <row r="57" spans="6:11">
      <c r="F57" s="154"/>
      <c r="G57" s="154"/>
      <c r="H57" s="154"/>
      <c r="I57" s="154"/>
      <c r="J57" s="154"/>
      <c r="K57" s="154"/>
    </row>
    <row r="63" spans="6:11">
      <c r="F63" s="153"/>
      <c r="G63" s="153"/>
      <c r="H63" s="153"/>
      <c r="I63" s="153"/>
      <c r="J63" s="153"/>
      <c r="K63" s="1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ECM</vt:lpstr>
      <vt:lpstr>Calc|Opex Forecast</vt:lpstr>
      <vt:lpstr>Summary</vt:lpstr>
      <vt:lpstr>Rate of change</vt:lpstr>
      <vt:lpstr>Base Year - establishing</vt:lpstr>
      <vt:lpstr>Diff. between 2016 &amp; 2017</vt:lpstr>
      <vt:lpstr>BIS labour Real Cost Escalators</vt:lpstr>
      <vt:lpstr>Outout Growth - scenarios</vt:lpstr>
      <vt:lpstr>Economic Assumptions</vt:lpstr>
      <vt:lpstr>'BIS labour Real Cost Escalators'!_ftn1</vt:lpstr>
      <vt:lpstr>'BIS labour Real Cost Escalators'!_ftnref1</vt:lpstr>
      <vt:lpstr>'BIS labour Real Cost Escalators'!_Ref462310608</vt:lpstr>
      <vt:lpstr>'Base Year - establishing'!Print_Area</vt:lpstr>
    </vt:vector>
  </TitlesOfParts>
  <Company>United Energy &amp;  Multinet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Schille, Andrew</dc:creator>
  <cp:lastModifiedBy>Schille, Andrew</cp:lastModifiedBy>
  <dcterms:created xsi:type="dcterms:W3CDTF">2015-12-15T00:23:10Z</dcterms:created>
  <dcterms:modified xsi:type="dcterms:W3CDTF">2016-12-12T22:09:53Z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78d0825b-b2a4-42e0-8572-ce4bb004f840</vt:lpwstr>
  </property>
</Properties>
</file>